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svg" ContentType="image/svg+xml"/>
  <Default Extension="vml" ContentType="application/vnd.openxmlformats-officedocument.vmlDrawing"/>
  <Default Extension="wdp" ContentType="image/vnd.ms-photo"/>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comments1.xml" ContentType="application/vnd.openxmlformats-officedocument.spreadsheetml.comments+xml"/>
  <Override PartName="/xl/threadedComments/threadedComment1.xml" ContentType="application/vnd.ms-excel.threadedcomments+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drawings/drawing3.xml" ContentType="application/vnd.openxmlformats-officedocument.drawing+xml"/>
  <Override PartName="/xl/drawings/drawing4.xml" ContentType="application/vnd.openxmlformats-officedocument.drawing+xml"/>
  <Override PartName="/xl/comments2.xml" ContentType="application/vnd.openxmlformats-officedocument.spreadsheetml.comments+xml"/>
  <Override PartName="/xl/threadedComments/threadedComment2.xml" ContentType="application/vnd.ms-excel.threadedcomments+xml"/>
  <Override PartName="/xl/charts/chart2.xml" ContentType="application/vnd.openxmlformats-officedocument.drawingml.chart+xml"/>
  <Override PartName="/xl/charts/style2.xml" ContentType="application/vnd.ms-office.chartstyle+xml"/>
  <Override PartName="/xl/charts/colors2.xml" ContentType="application/vnd.ms-office.chartcolorstyle+xml"/>
  <Override PartName="/xl/drawings/drawing5.xml" ContentType="application/vnd.openxmlformats-officedocument.drawing+xml"/>
  <Override PartName="/xl/persons/person.xml" ContentType="application/vnd.ms-excel.person+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mc:AlternateContent xmlns:mc="http://schemas.openxmlformats.org/markup-compatibility/2006">
    <mc:Choice Requires="x15">
      <x15ac:absPath xmlns:x15ac="http://schemas.microsoft.com/office/spreadsheetml/2010/11/ac" url="C:\Users\RūtaPašiškevičiūtė\Downloads\Skaiciuokliu atnaujinimui\2025 me redakcijos\"/>
    </mc:Choice>
  </mc:AlternateContent>
  <xr:revisionPtr revIDLastSave="0" documentId="13_ncr:1_{DFCF182E-FD3A-4AC5-AD1A-F3744FB1E149}" xr6:coauthVersionLast="47" xr6:coauthVersionMax="47" xr10:uidLastSave="{00000000-0000-0000-0000-000000000000}"/>
  <bookViews>
    <workbookView xWindow="-120" yWindow="-120" windowWidth="29040" windowHeight="15720" tabRatio="582" firstSheet="3" activeTab="3" xr2:uid="{4EF9AD6D-4DB3-44C8-8E1B-DCEDD16E8C55}"/>
  </bookViews>
  <sheets>
    <sheet name="Pradžia" sheetId="7" r:id="rId1"/>
    <sheet name="Skaičiuoklė_pvz" sheetId="2" state="hidden" r:id="rId2"/>
    <sheet name="Naudojimosi instrukcija" sheetId="6" r:id="rId3"/>
    <sheet name="Skaičiuoklė" sheetId="8" r:id="rId4"/>
    <sheet name="Atnaujinimas" sheetId="4" r:id="rId5"/>
  </sheet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B69" i="8" l="1"/>
  <c r="AN69" i="8"/>
  <c r="Z69" i="8" l="1"/>
  <c r="J69" i="8" l="1"/>
  <c r="AL347" i="8" l="1"/>
  <c r="AZ347" i="8"/>
  <c r="AL337" i="8"/>
  <c r="X347" i="8"/>
  <c r="X346" i="8"/>
  <c r="X336" i="8"/>
  <c r="H344" i="8"/>
  <c r="Y345" i="8"/>
  <c r="X197" i="8"/>
  <c r="AL188" i="8"/>
  <c r="AZ261" i="8"/>
  <c r="AC250" i="8"/>
  <c r="M250" i="8"/>
  <c r="M251" i="8"/>
  <c r="AZ260" i="8"/>
  <c r="AZ251" i="8"/>
  <c r="AZ250" i="8"/>
  <c r="BA250" i="8" s="1"/>
  <c r="AL261" i="8"/>
  <c r="AL260" i="8"/>
  <c r="AL251" i="8"/>
  <c r="AL250" i="8"/>
  <c r="X250" i="8"/>
  <c r="X261" i="8"/>
  <c r="X260" i="8"/>
  <c r="H260" i="8"/>
  <c r="M261" i="8"/>
  <c r="M262" i="8"/>
  <c r="M263" i="8"/>
  <c r="M264" i="8"/>
  <c r="M265" i="8"/>
  <c r="M266" i="8"/>
  <c r="M267" i="8"/>
  <c r="M260" i="8"/>
  <c r="BE250" i="8"/>
  <c r="BE260" i="8"/>
  <c r="M86" i="8"/>
  <c r="P86" i="8" s="1"/>
  <c r="M75" i="8"/>
  <c r="I106" i="8"/>
  <c r="M76" i="8"/>
  <c r="AM164" i="8"/>
  <c r="AM165" i="8"/>
  <c r="AM163" i="8"/>
  <c r="I225" i="8"/>
  <c r="AC87" i="8"/>
  <c r="AC88" i="8"/>
  <c r="AC89" i="8"/>
  <c r="AC90" i="8"/>
  <c r="AC91" i="8"/>
  <c r="AC92" i="8"/>
  <c r="AC93" i="8"/>
  <c r="AC86" i="8"/>
  <c r="X87" i="8"/>
  <c r="X88" i="8"/>
  <c r="X89" i="8"/>
  <c r="X90" i="8"/>
  <c r="X91" i="8"/>
  <c r="X92" i="8"/>
  <c r="X93" i="8"/>
  <c r="X94" i="8"/>
  <c r="X95" i="8"/>
  <c r="X86" i="8"/>
  <c r="AZ345" i="8"/>
  <c r="AZ336" i="8"/>
  <c r="AL345" i="8"/>
  <c r="AL336" i="8"/>
  <c r="X345" i="8"/>
  <c r="H345" i="8"/>
  <c r="H336" i="8"/>
  <c r="AN296" i="8"/>
  <c r="AN297" i="8"/>
  <c r="AN298" i="8"/>
  <c r="AN299" i="8"/>
  <c r="AN295" i="8"/>
  <c r="BE261" i="8"/>
  <c r="BE262" i="8"/>
  <c r="BE263" i="8"/>
  <c r="BE264" i="8"/>
  <c r="BE265" i="8"/>
  <c r="BE266" i="8"/>
  <c r="BE267" i="8"/>
  <c r="AQ260" i="8"/>
  <c r="Z275" i="8"/>
  <c r="J273" i="8"/>
  <c r="AM250" i="8" l="1"/>
  <c r="AM260" i="8"/>
  <c r="BA260" i="8"/>
  <c r="BF260" i="8"/>
  <c r="Y260" i="8"/>
  <c r="Y86" i="8"/>
  <c r="AO298" i="8"/>
  <c r="X114" i="8" l="1"/>
  <c r="X115" i="8"/>
  <c r="H76" i="8"/>
  <c r="H33" i="2"/>
  <c r="H78" i="8" l="1"/>
  <c r="H87" i="8"/>
  <c r="J65" i="8"/>
  <c r="H88" i="8"/>
  <c r="BB273" i="8"/>
  <c r="BB274" i="8"/>
  <c r="BB275" i="8"/>
  <c r="BB276" i="8"/>
  <c r="BB272" i="8"/>
  <c r="AZ346" i="8"/>
  <c r="AZ348" i="8"/>
  <c r="AZ349" i="8"/>
  <c r="AZ350" i="8"/>
  <c r="AZ351" i="8"/>
  <c r="AZ344" i="8"/>
  <c r="AA356" i="8"/>
  <c r="AO356" i="8"/>
  <c r="BB326" i="8"/>
  <c r="BB327" i="8"/>
  <c r="BB328" i="8"/>
  <c r="BB329" i="8"/>
  <c r="BB325" i="8"/>
  <c r="BB319" i="8"/>
  <c r="BB320" i="8"/>
  <c r="BB321" i="8"/>
  <c r="BB322" i="8"/>
  <c r="BB318" i="8"/>
  <c r="BB311" i="8"/>
  <c r="BB312" i="8"/>
  <c r="BB313" i="8"/>
  <c r="BB314" i="8"/>
  <c r="BB310" i="8"/>
  <c r="BB304" i="8"/>
  <c r="BB305" i="8"/>
  <c r="BB306" i="8"/>
  <c r="BB307" i="8"/>
  <c r="BB303" i="8"/>
  <c r="BB296" i="8"/>
  <c r="BB297" i="8"/>
  <c r="BB298" i="8"/>
  <c r="BB299" i="8"/>
  <c r="BB295" i="8"/>
  <c r="BB289" i="8"/>
  <c r="BB290" i="8"/>
  <c r="BB291" i="8"/>
  <c r="BB292" i="8"/>
  <c r="BB288" i="8"/>
  <c r="BB281" i="8"/>
  <c r="BB282" i="8"/>
  <c r="BB283" i="8"/>
  <c r="BB284" i="8"/>
  <c r="BB280" i="8"/>
  <c r="BE257" i="8"/>
  <c r="BE256" i="8"/>
  <c r="BE255" i="8"/>
  <c r="BE254" i="8"/>
  <c r="BE253" i="8"/>
  <c r="BE252" i="8"/>
  <c r="BC398" i="8"/>
  <c r="BC397" i="8"/>
  <c r="BC396" i="8"/>
  <c r="BC392" i="8"/>
  <c r="BC391" i="8"/>
  <c r="BC390" i="8"/>
  <c r="BC386" i="8"/>
  <c r="BC385" i="8"/>
  <c r="BC384" i="8"/>
  <c r="BC381" i="8"/>
  <c r="BC375" i="8"/>
  <c r="BC374" i="8"/>
  <c r="BC373" i="8"/>
  <c r="X335" i="8"/>
  <c r="BC363" i="8"/>
  <c r="BC362" i="8"/>
  <c r="BC361" i="8"/>
  <c r="AA355" i="8"/>
  <c r="AO357" i="8"/>
  <c r="AO355" i="8"/>
  <c r="BA245" i="8"/>
  <c r="BA244" i="8"/>
  <c r="BA235" i="8"/>
  <c r="BA234" i="8"/>
  <c r="BA226" i="8"/>
  <c r="BA225" i="8"/>
  <c r="BA221" i="8"/>
  <c r="AZ201" i="8"/>
  <c r="AZ202" i="8"/>
  <c r="AZ203" i="8"/>
  <c r="AZ204" i="8"/>
  <c r="AZ205" i="8"/>
  <c r="BA215" i="8"/>
  <c r="BA214" i="8"/>
  <c r="AM226" i="8"/>
  <c r="AM225" i="8"/>
  <c r="AM210" i="8"/>
  <c r="AM211" i="8"/>
  <c r="AL201" i="8"/>
  <c r="AM221" i="8"/>
  <c r="AM214" i="8"/>
  <c r="AZ187" i="8"/>
  <c r="AZ188" i="8"/>
  <c r="AZ189" i="8"/>
  <c r="AZ190" i="8"/>
  <c r="AZ191" i="8"/>
  <c r="AZ192" i="8"/>
  <c r="AZ193" i="8"/>
  <c r="AZ194" i="8"/>
  <c r="AZ186" i="8"/>
  <c r="AZ198" i="8"/>
  <c r="AZ199" i="8"/>
  <c r="AZ200" i="8"/>
  <c r="AZ197" i="8"/>
  <c r="AL198" i="8"/>
  <c r="AL199" i="8"/>
  <c r="AL200" i="8"/>
  <c r="AL202" i="8"/>
  <c r="AL203" i="8"/>
  <c r="AL204" i="8"/>
  <c r="AL205" i="8"/>
  <c r="AL197" i="8"/>
  <c r="BA173" i="8"/>
  <c r="BA163" i="8"/>
  <c r="BA152" i="8"/>
  <c r="BA142" i="8"/>
  <c r="BA141" i="8"/>
  <c r="BA107" i="8"/>
  <c r="BE90" i="8"/>
  <c r="BE76" i="8"/>
  <c r="BE77" i="8"/>
  <c r="BE78" i="8"/>
  <c r="BE79" i="8"/>
  <c r="BE80" i="8"/>
  <c r="BE81" i="8"/>
  <c r="BE82" i="8"/>
  <c r="BE83" i="8"/>
  <c r="BE75" i="8"/>
  <c r="AZ76" i="8"/>
  <c r="AZ77" i="8"/>
  <c r="AZ78" i="8"/>
  <c r="AZ79" i="8"/>
  <c r="AZ80" i="8"/>
  <c r="AZ81" i="8"/>
  <c r="AZ82" i="8"/>
  <c r="AZ83" i="8"/>
  <c r="AZ75" i="8"/>
  <c r="BF81" i="8"/>
  <c r="BF80" i="8"/>
  <c r="BF79" i="8"/>
  <c r="BF78" i="8"/>
  <c r="BF77" i="8"/>
  <c r="BF76" i="8"/>
  <c r="BB65" i="8"/>
  <c r="AN65" i="8"/>
  <c r="AN67" i="8"/>
  <c r="AO397" i="8"/>
  <c r="AO398" i="8"/>
  <c r="AO396" i="8"/>
  <c r="AO392" i="8"/>
  <c r="AO391" i="8"/>
  <c r="AO390" i="8"/>
  <c r="AO385" i="8"/>
  <c r="AO386" i="8"/>
  <c r="AO384" i="8"/>
  <c r="AO381" i="8"/>
  <c r="AO380" i="8"/>
  <c r="AO379" i="8"/>
  <c r="AO374" i="8"/>
  <c r="AO375" i="8"/>
  <c r="AO373" i="8"/>
  <c r="AO370" i="8"/>
  <c r="AO369" i="8"/>
  <c r="AO368" i="8"/>
  <c r="AO362" i="8"/>
  <c r="AO363" i="8"/>
  <c r="AO361" i="8"/>
  <c r="AL344" i="8"/>
  <c r="AL346" i="8"/>
  <c r="AL348" i="8"/>
  <c r="AL349" i="8"/>
  <c r="AL350" i="8"/>
  <c r="AL351" i="8"/>
  <c r="AN326" i="8"/>
  <c r="AN327" i="8"/>
  <c r="AN328" i="8"/>
  <c r="AN329" i="8"/>
  <c r="AN325" i="8"/>
  <c r="AN319" i="8"/>
  <c r="AN320" i="8"/>
  <c r="AN321" i="8"/>
  <c r="AN322" i="8"/>
  <c r="AN318" i="8"/>
  <c r="AN311" i="8"/>
  <c r="AN312" i="8"/>
  <c r="AN313" i="8"/>
  <c r="AN314" i="8"/>
  <c r="AN310" i="8"/>
  <c r="AN284" i="8"/>
  <c r="AN283" i="8"/>
  <c r="AN282" i="8"/>
  <c r="AN281" i="8"/>
  <c r="AN280" i="8"/>
  <c r="AN276" i="8"/>
  <c r="AN275" i="8"/>
  <c r="AN274" i="8"/>
  <c r="AN273" i="8"/>
  <c r="AN272" i="8"/>
  <c r="AQ261" i="8"/>
  <c r="AQ262" i="8"/>
  <c r="AQ263" i="8"/>
  <c r="AQ264" i="8"/>
  <c r="AQ265" i="8"/>
  <c r="AQ266" i="8"/>
  <c r="AQ267" i="8"/>
  <c r="AM245" i="8"/>
  <c r="AM244" i="8"/>
  <c r="AM241" i="8"/>
  <c r="AM240" i="8"/>
  <c r="AM235" i="8"/>
  <c r="AM234" i="8"/>
  <c r="AM231" i="8"/>
  <c r="AM230" i="8"/>
  <c r="AM215" i="8"/>
  <c r="Y210" i="8"/>
  <c r="AM178" i="8"/>
  <c r="AM177" i="8"/>
  <c r="AM176" i="8"/>
  <c r="AM175" i="8"/>
  <c r="AM174" i="8"/>
  <c r="AM173" i="8"/>
  <c r="AO178" i="8"/>
  <c r="AO177" i="8"/>
  <c r="AO176" i="8"/>
  <c r="AO175" i="8"/>
  <c r="Y175" i="8"/>
  <c r="AO168" i="8"/>
  <c r="AM168" i="8"/>
  <c r="AO167" i="8"/>
  <c r="AM167" i="8"/>
  <c r="AO166" i="8"/>
  <c r="AM166" i="8"/>
  <c r="AO165" i="8"/>
  <c r="AM153" i="8"/>
  <c r="AM154" i="8"/>
  <c r="AM155" i="8"/>
  <c r="AM156" i="8"/>
  <c r="AM157" i="8"/>
  <c r="AM152" i="8"/>
  <c r="AO157" i="8"/>
  <c r="AO156" i="8"/>
  <c r="AO155" i="8"/>
  <c r="AO154" i="8"/>
  <c r="AM142" i="8"/>
  <c r="AM143" i="8"/>
  <c r="AM141" i="8"/>
  <c r="AO146" i="8"/>
  <c r="AM146" i="8"/>
  <c r="AO145" i="8"/>
  <c r="AM145" i="8"/>
  <c r="AO144" i="8"/>
  <c r="AM144" i="8"/>
  <c r="AO143" i="8"/>
  <c r="AM132" i="8"/>
  <c r="Y142" i="8"/>
  <c r="AM125" i="8"/>
  <c r="AM124" i="8"/>
  <c r="AM123" i="8"/>
  <c r="AO128" i="8"/>
  <c r="AM128" i="8"/>
  <c r="AO127" i="8"/>
  <c r="AM127" i="8"/>
  <c r="AO126" i="8"/>
  <c r="AM126" i="8"/>
  <c r="AO125" i="8"/>
  <c r="Y114" i="8"/>
  <c r="AM107" i="8"/>
  <c r="AM108" i="8"/>
  <c r="AM109" i="8"/>
  <c r="AM110" i="8"/>
  <c r="AM111" i="8"/>
  <c r="AM106" i="8"/>
  <c r="Y107" i="8"/>
  <c r="AL89" i="8"/>
  <c r="AO111" i="8"/>
  <c r="AO110" i="8"/>
  <c r="AO109" i="8"/>
  <c r="AO107" i="8"/>
  <c r="AO106" i="8"/>
  <c r="AQ90" i="8"/>
  <c r="AQ89" i="8"/>
  <c r="Y245" i="8"/>
  <c r="Y244" i="8"/>
  <c r="Y235" i="8"/>
  <c r="Y234" i="8"/>
  <c r="Y226" i="8"/>
  <c r="Y225" i="8"/>
  <c r="Y215" i="8"/>
  <c r="Y214" i="8"/>
  <c r="X198" i="8"/>
  <c r="X199" i="8"/>
  <c r="X200" i="8"/>
  <c r="X201" i="8"/>
  <c r="X202" i="8"/>
  <c r="X203" i="8"/>
  <c r="X204" i="8"/>
  <c r="X205" i="8"/>
  <c r="H186" i="8"/>
  <c r="H201" i="8"/>
  <c r="K355" i="8"/>
  <c r="K361" i="8"/>
  <c r="K375" i="8"/>
  <c r="K374" i="8"/>
  <c r="K373" i="8"/>
  <c r="K363" i="8"/>
  <c r="K362" i="8"/>
  <c r="AA374" i="8"/>
  <c r="X348" i="8"/>
  <c r="X349" i="8"/>
  <c r="X350" i="8"/>
  <c r="X351" i="8"/>
  <c r="X352" i="8"/>
  <c r="X344" i="8"/>
  <c r="H348" i="8"/>
  <c r="Z326" i="8"/>
  <c r="Z327" i="8"/>
  <c r="Z328" i="8"/>
  <c r="Z329" i="8"/>
  <c r="Z325" i="8"/>
  <c r="Z311" i="8"/>
  <c r="Z312" i="8"/>
  <c r="Z313" i="8"/>
  <c r="Z314" i="8"/>
  <c r="Z310" i="8"/>
  <c r="Z296" i="8"/>
  <c r="Z297" i="8"/>
  <c r="Z298" i="8"/>
  <c r="Z299" i="8"/>
  <c r="Z295" i="8"/>
  <c r="AC261" i="8"/>
  <c r="AC262" i="8"/>
  <c r="AC263" i="8"/>
  <c r="AC264" i="8"/>
  <c r="AC265" i="8"/>
  <c r="AC266" i="8"/>
  <c r="AC267" i="8"/>
  <c r="AC268" i="8"/>
  <c r="AC260" i="8"/>
  <c r="Z284" i="8"/>
  <c r="Z283" i="8"/>
  <c r="Z282" i="8"/>
  <c r="Z281" i="8"/>
  <c r="Z280" i="8"/>
  <c r="AA363" i="8"/>
  <c r="AA375" i="8"/>
  <c r="AA373" i="8"/>
  <c r="AA386" i="8"/>
  <c r="AA385" i="8"/>
  <c r="AA384" i="8"/>
  <c r="AA398" i="8"/>
  <c r="AA397" i="8"/>
  <c r="AA396" i="8"/>
  <c r="AA362" i="8"/>
  <c r="AA361" i="8"/>
  <c r="Y165" i="8"/>
  <c r="Y164" i="8"/>
  <c r="Y163" i="8"/>
  <c r="AA168" i="8"/>
  <c r="Y168" i="8"/>
  <c r="AA167" i="8"/>
  <c r="Y167" i="8"/>
  <c r="AA166" i="8"/>
  <c r="Y166" i="8"/>
  <c r="AA165" i="8"/>
  <c r="Y143" i="8"/>
  <c r="Y141" i="8"/>
  <c r="AA146" i="8"/>
  <c r="Y146" i="8"/>
  <c r="AA145" i="8"/>
  <c r="Y145" i="8"/>
  <c r="AA144" i="8"/>
  <c r="Y144" i="8"/>
  <c r="AA143" i="8"/>
  <c r="N16" i="8" a="1"/>
  <c r="N16" i="8" s="1"/>
  <c r="O16" i="8" a="1"/>
  <c r="O16" i="8" s="1"/>
  <c r="I152" i="8"/>
  <c r="BA124" i="8"/>
  <c r="BA125" i="8"/>
  <c r="BA126" i="8"/>
  <c r="BA127" i="8"/>
  <c r="BA128" i="8"/>
  <c r="BA123" i="8"/>
  <c r="AM133" i="8"/>
  <c r="AM134" i="8"/>
  <c r="AM135" i="8"/>
  <c r="AM136" i="8"/>
  <c r="AM137" i="8"/>
  <c r="Y124" i="8"/>
  <c r="Y125" i="8"/>
  <c r="Y123" i="8"/>
  <c r="BC128" i="8"/>
  <c r="BC127" i="8"/>
  <c r="BC126" i="8"/>
  <c r="BC125" i="8"/>
  <c r="AA128" i="8"/>
  <c r="Y128" i="8"/>
  <c r="AA127" i="8"/>
  <c r="Y127" i="8"/>
  <c r="AA126" i="8"/>
  <c r="Y126" i="8"/>
  <c r="AA125" i="8"/>
  <c r="Y108" i="8"/>
  <c r="Y109" i="8"/>
  <c r="Y110" i="8"/>
  <c r="Y111" i="8"/>
  <c r="Y106" i="8"/>
  <c r="AA111" i="8"/>
  <c r="AA110" i="8"/>
  <c r="AA109" i="8"/>
  <c r="BA108" i="8"/>
  <c r="BA109" i="8"/>
  <c r="BA110" i="8"/>
  <c r="BA111" i="8"/>
  <c r="BA106" i="8"/>
  <c r="BC111" i="8"/>
  <c r="BC110" i="8"/>
  <c r="BC109" i="8"/>
  <c r="BA174" i="8"/>
  <c r="BA175" i="8"/>
  <c r="BA176" i="8"/>
  <c r="BA177" i="8"/>
  <c r="BA178" i="8"/>
  <c r="Y174" i="8"/>
  <c r="Y176" i="8"/>
  <c r="Y177" i="8"/>
  <c r="Y178" i="8"/>
  <c r="Y173" i="8"/>
  <c r="BC178" i="8"/>
  <c r="BC177" i="8"/>
  <c r="BC176" i="8"/>
  <c r="BC175" i="8"/>
  <c r="AA178" i="8"/>
  <c r="AA177" i="8"/>
  <c r="AA176" i="8"/>
  <c r="AA175" i="8"/>
  <c r="BA153" i="8"/>
  <c r="BA154" i="8"/>
  <c r="BA155" i="8"/>
  <c r="BA156" i="8"/>
  <c r="BA157" i="8"/>
  <c r="Y153" i="8"/>
  <c r="Y154" i="8"/>
  <c r="Y155" i="8"/>
  <c r="Y156" i="8"/>
  <c r="Y157" i="8"/>
  <c r="Y152" i="8"/>
  <c r="BC157" i="8"/>
  <c r="BC156" i="8"/>
  <c r="BC155" i="8"/>
  <c r="BC154" i="8"/>
  <c r="AA157" i="8"/>
  <c r="AA156" i="8"/>
  <c r="AA155" i="8"/>
  <c r="AA154" i="8"/>
  <c r="BA133" i="8"/>
  <c r="BA134" i="8"/>
  <c r="BA135" i="8"/>
  <c r="BA136" i="8"/>
  <c r="BA137" i="8"/>
  <c r="BA132" i="8"/>
  <c r="Y133" i="8"/>
  <c r="Y134" i="8"/>
  <c r="Y135" i="8"/>
  <c r="Y136" i="8"/>
  <c r="Y137" i="8"/>
  <c r="Y132" i="8"/>
  <c r="I135" i="8"/>
  <c r="BC137" i="8"/>
  <c r="BC136" i="8"/>
  <c r="BC135" i="8"/>
  <c r="BC134" i="8"/>
  <c r="AO137" i="8"/>
  <c r="AO136" i="8"/>
  <c r="AO135" i="8"/>
  <c r="AO134" i="8"/>
  <c r="AA137" i="8"/>
  <c r="AA136" i="8"/>
  <c r="AA135" i="8"/>
  <c r="AA134" i="8"/>
  <c r="BA114" i="8"/>
  <c r="BA115" i="8"/>
  <c r="BA116" i="8"/>
  <c r="BA117" i="8"/>
  <c r="BA118" i="8"/>
  <c r="BA119" i="8"/>
  <c r="AM115" i="8"/>
  <c r="AM116" i="8"/>
  <c r="AM117" i="8"/>
  <c r="AM118" i="8"/>
  <c r="AM119" i="8"/>
  <c r="AM114" i="8"/>
  <c r="Y115" i="8"/>
  <c r="Y116" i="8"/>
  <c r="Y117" i="8"/>
  <c r="Y118" i="8"/>
  <c r="Y119" i="8"/>
  <c r="BC119" i="8"/>
  <c r="BC118" i="8"/>
  <c r="BC117" i="8"/>
  <c r="BC116" i="8"/>
  <c r="AO119" i="8"/>
  <c r="AO118" i="8"/>
  <c r="AO117" i="8"/>
  <c r="AO116" i="8"/>
  <c r="AA119" i="8"/>
  <c r="AA118" i="8"/>
  <c r="AA117" i="8"/>
  <c r="AA116" i="8"/>
  <c r="BE87" i="8"/>
  <c r="BE88" i="8"/>
  <c r="BE89" i="8"/>
  <c r="BE91" i="8"/>
  <c r="BE92" i="8"/>
  <c r="BE93" i="8"/>
  <c r="BE94" i="8"/>
  <c r="BE95" i="8"/>
  <c r="BE86" i="8"/>
  <c r="AZ87" i="8"/>
  <c r="AZ88" i="8"/>
  <c r="AZ89" i="8"/>
  <c r="AZ90" i="8"/>
  <c r="AZ91" i="8"/>
  <c r="AZ92" i="8"/>
  <c r="AZ93" i="8"/>
  <c r="AZ94" i="8"/>
  <c r="AZ95" i="8"/>
  <c r="AZ86" i="8"/>
  <c r="M89" i="8"/>
  <c r="AQ86" i="8"/>
  <c r="H77" i="8"/>
  <c r="AQ87" i="8"/>
  <c r="AQ88" i="8"/>
  <c r="AQ91" i="8"/>
  <c r="AQ92" i="8"/>
  <c r="AQ93" i="8"/>
  <c r="AQ94" i="8"/>
  <c r="AQ95" i="8"/>
  <c r="AL87" i="8"/>
  <c r="AL88" i="8"/>
  <c r="AL90" i="8"/>
  <c r="AL91" i="8"/>
  <c r="AL92" i="8"/>
  <c r="AL93" i="8"/>
  <c r="AL94" i="8"/>
  <c r="AL95" i="8"/>
  <c r="AL86" i="8"/>
  <c r="AC94" i="8"/>
  <c r="AC95" i="8"/>
  <c r="H89" i="8"/>
  <c r="K398" i="8"/>
  <c r="K397" i="8"/>
  <c r="K396" i="8"/>
  <c r="BA344" i="8" l="1"/>
  <c r="AN163" i="8"/>
  <c r="AM197" i="8"/>
  <c r="AL215" i="8" s="1"/>
  <c r="BA197" i="8"/>
  <c r="AM344" i="8"/>
  <c r="AN363" i="8" s="1"/>
  <c r="AR260" i="8"/>
  <c r="AM326" i="8" s="1"/>
  <c r="Y197" i="8"/>
  <c r="AD260" i="8"/>
  <c r="Y311" i="8" s="1"/>
  <c r="Y344" i="8"/>
  <c r="Z398" i="8" s="1"/>
  <c r="BA186" i="8"/>
  <c r="BF86" i="8"/>
  <c r="AZ116" i="8" s="1"/>
  <c r="Z225" i="8"/>
  <c r="Z226" i="8"/>
  <c r="AM86" i="8"/>
  <c r="BC275" i="8"/>
  <c r="BD374" i="8"/>
  <c r="BC276" i="8"/>
  <c r="AP357" i="8"/>
  <c r="AN231" i="8"/>
  <c r="BD396" i="8"/>
  <c r="AN124" i="8"/>
  <c r="BA351" i="8"/>
  <c r="BC273" i="8"/>
  <c r="BC274" i="8"/>
  <c r="BC272" i="8"/>
  <c r="BC295" i="8"/>
  <c r="BC304" i="8"/>
  <c r="BA348" i="8"/>
  <c r="BA349" i="8"/>
  <c r="BA350" i="8"/>
  <c r="BA345" i="8"/>
  <c r="BA346" i="8"/>
  <c r="BA347" i="8"/>
  <c r="BB234" i="8"/>
  <c r="BC298" i="8"/>
  <c r="BC327" i="8"/>
  <c r="BD397" i="8"/>
  <c r="BC321" i="8"/>
  <c r="BC290" i="8"/>
  <c r="BC320" i="8"/>
  <c r="BC305" i="8"/>
  <c r="AO295" i="8"/>
  <c r="AP356" i="8"/>
  <c r="AP355" i="8"/>
  <c r="AA299" i="8"/>
  <c r="BB244" i="8"/>
  <c r="BC297" i="8"/>
  <c r="BC311" i="8"/>
  <c r="BC299" i="8"/>
  <c r="BC296" i="8"/>
  <c r="BC313" i="8"/>
  <c r="BC281" i="8"/>
  <c r="BC312" i="8"/>
  <c r="BC326" i="8"/>
  <c r="BD363" i="8"/>
  <c r="BD385" i="8"/>
  <c r="BC291" i="8"/>
  <c r="BC306" i="8"/>
  <c r="BD392" i="8"/>
  <c r="AA298" i="8"/>
  <c r="AA296" i="8"/>
  <c r="AA295" i="8"/>
  <c r="AA297" i="8"/>
  <c r="AO299" i="8"/>
  <c r="AO297" i="8"/>
  <c r="AO296" i="8"/>
  <c r="BC328" i="8"/>
  <c r="BC325" i="8"/>
  <c r="BC329" i="8"/>
  <c r="BC319" i="8"/>
  <c r="BC318" i="8"/>
  <c r="BC322" i="8"/>
  <c r="BC310" i="8"/>
  <c r="BC314" i="8"/>
  <c r="BC303" i="8"/>
  <c r="BC307" i="8"/>
  <c r="BC289" i="8"/>
  <c r="BC288" i="8"/>
  <c r="BC292" i="8"/>
  <c r="BC282" i="8"/>
  <c r="BC283" i="8"/>
  <c r="BC280" i="8"/>
  <c r="BC284" i="8"/>
  <c r="BD361" i="8"/>
  <c r="BD362" i="8"/>
  <c r="BD386" i="8"/>
  <c r="BD373" i="8"/>
  <c r="BD384" i="8"/>
  <c r="BD390" i="8"/>
  <c r="BD391" i="8"/>
  <c r="BD398" i="8"/>
  <c r="BD375" i="8"/>
  <c r="BB225" i="8"/>
  <c r="AN225" i="8"/>
  <c r="AN210" i="8"/>
  <c r="Y204" i="8"/>
  <c r="BB214" i="8"/>
  <c r="Y203" i="8"/>
  <c r="Y202" i="8"/>
  <c r="Y201" i="8"/>
  <c r="Y200" i="8"/>
  <c r="Y199" i="8"/>
  <c r="Y198" i="8"/>
  <c r="Y205" i="8"/>
  <c r="BB106" i="8"/>
  <c r="BB245" i="8"/>
  <c r="BB226" i="8"/>
  <c r="BF75" i="8"/>
  <c r="AN198" i="8"/>
  <c r="AN205" i="8"/>
  <c r="AN204" i="8"/>
  <c r="AN203" i="8"/>
  <c r="AN202" i="8"/>
  <c r="AN201" i="8"/>
  <c r="AN199" i="8"/>
  <c r="AN200" i="8"/>
  <c r="BB132" i="8"/>
  <c r="BA75" i="8"/>
  <c r="AN244" i="8"/>
  <c r="BB173" i="8"/>
  <c r="AP385" i="8"/>
  <c r="AP375" i="8"/>
  <c r="AP369" i="8"/>
  <c r="AO321" i="8"/>
  <c r="AP391" i="8"/>
  <c r="AP368" i="8"/>
  <c r="AP390" i="8"/>
  <c r="AP379" i="8"/>
  <c r="AM346" i="8"/>
  <c r="AO275" i="8"/>
  <c r="AM351" i="8"/>
  <c r="AM350" i="8"/>
  <c r="AM347" i="8"/>
  <c r="AM348" i="8"/>
  <c r="AM345" i="8"/>
  <c r="AM349" i="8"/>
  <c r="AP374" i="8"/>
  <c r="AO327" i="8"/>
  <c r="AO313" i="8"/>
  <c r="AP396" i="8"/>
  <c r="AN234" i="8"/>
  <c r="AO281" i="8"/>
  <c r="AP361" i="8"/>
  <c r="AP373" i="8"/>
  <c r="AO314" i="8"/>
  <c r="AP363" i="8"/>
  <c r="AP384" i="8"/>
  <c r="AO283" i="8"/>
  <c r="AO310" i="8"/>
  <c r="AP397" i="8"/>
  <c r="AP398" i="8"/>
  <c r="AP392" i="8"/>
  <c r="AP386" i="8"/>
  <c r="AP380" i="8"/>
  <c r="AP381" i="8"/>
  <c r="AP370" i="8"/>
  <c r="AP362" i="8"/>
  <c r="AO325" i="8"/>
  <c r="AO284" i="8"/>
  <c r="AN114" i="8"/>
  <c r="AO282" i="8"/>
  <c r="AO312" i="8"/>
  <c r="AO280" i="8"/>
  <c r="AO311" i="8"/>
  <c r="Z214" i="8"/>
  <c r="AN241" i="8"/>
  <c r="AO272" i="8"/>
  <c r="AN123" i="8"/>
  <c r="AO276" i="8"/>
  <c r="AO318" i="8"/>
  <c r="AO274" i="8"/>
  <c r="AO273" i="8"/>
  <c r="AO319" i="8"/>
  <c r="AO320" i="8"/>
  <c r="Z108" i="8"/>
  <c r="AO328" i="8"/>
  <c r="AO326" i="8"/>
  <c r="AO329" i="8"/>
  <c r="AO322" i="8"/>
  <c r="AM89" i="8"/>
  <c r="AN226" i="8"/>
  <c r="AN245" i="8"/>
  <c r="AN153" i="8"/>
  <c r="AN132" i="8"/>
  <c r="AN173" i="8"/>
  <c r="AN214" i="8"/>
  <c r="Z132" i="8"/>
  <c r="Z115" i="8"/>
  <c r="Z106" i="8"/>
  <c r="AN230" i="8"/>
  <c r="AN240" i="8"/>
  <c r="AN215" i="8"/>
  <c r="AN106" i="8"/>
  <c r="AN107" i="8"/>
  <c r="AN235" i="8"/>
  <c r="AN211" i="8"/>
  <c r="Z114" i="8"/>
  <c r="Z117" i="8"/>
  <c r="AN155" i="8"/>
  <c r="AN152" i="8"/>
  <c r="AN126" i="8"/>
  <c r="AN109" i="8"/>
  <c r="AN175" i="8"/>
  <c r="AN176" i="8"/>
  <c r="AN166" i="8"/>
  <c r="AN174" i="8"/>
  <c r="AN178" i="8"/>
  <c r="AN177" i="8"/>
  <c r="AN165" i="8"/>
  <c r="AN164" i="8"/>
  <c r="AN168" i="8"/>
  <c r="AN167" i="8"/>
  <c r="AN154" i="8"/>
  <c r="AN144" i="8"/>
  <c r="AN157" i="8"/>
  <c r="AN156" i="8"/>
  <c r="AN143" i="8"/>
  <c r="AN142" i="8"/>
  <c r="AN127" i="8"/>
  <c r="AN141" i="8"/>
  <c r="AN146" i="8"/>
  <c r="AN145" i="8"/>
  <c r="AN125" i="8"/>
  <c r="AN128" i="8"/>
  <c r="AN108" i="8"/>
  <c r="AN111" i="8"/>
  <c r="AN110" i="8"/>
  <c r="Z244" i="8"/>
  <c r="AB362" i="8"/>
  <c r="Z234" i="8"/>
  <c r="Z245" i="8"/>
  <c r="AB384" i="8"/>
  <c r="AB374" i="8"/>
  <c r="AB363" i="8"/>
  <c r="AB397" i="8"/>
  <c r="L375" i="8"/>
  <c r="L396" i="8"/>
  <c r="L373" i="8"/>
  <c r="L374" i="8"/>
  <c r="L397" i="8"/>
  <c r="L363" i="8"/>
  <c r="L362" i="8"/>
  <c r="L361" i="8"/>
  <c r="AB396" i="8"/>
  <c r="AB385" i="8"/>
  <c r="AB386" i="8"/>
  <c r="AB398" i="8"/>
  <c r="L398" i="8"/>
  <c r="AB373" i="8"/>
  <c r="AB375" i="8"/>
  <c r="AB361" i="8"/>
  <c r="AA281" i="8"/>
  <c r="AA327" i="8"/>
  <c r="AA284" i="8"/>
  <c r="AA326" i="8"/>
  <c r="AA310" i="8"/>
  <c r="AA329" i="8"/>
  <c r="AA280" i="8"/>
  <c r="AA283" i="8"/>
  <c r="AA325" i="8"/>
  <c r="AA282" i="8"/>
  <c r="AA328" i="8"/>
  <c r="Z165" i="8"/>
  <c r="BB123" i="8"/>
  <c r="BB155" i="8"/>
  <c r="Z166" i="8"/>
  <c r="Z142" i="8"/>
  <c r="Z123" i="8"/>
  <c r="Z141" i="8"/>
  <c r="Z163" i="8"/>
  <c r="Z144" i="8"/>
  <c r="Z125" i="8"/>
  <c r="Z164" i="8"/>
  <c r="Z168" i="8"/>
  <c r="Z167" i="8"/>
  <c r="Z143" i="8"/>
  <c r="Z146" i="8"/>
  <c r="Z145" i="8"/>
  <c r="Z134" i="8"/>
  <c r="Z109" i="8"/>
  <c r="BB114" i="8"/>
  <c r="AN134" i="8"/>
  <c r="Z126" i="8"/>
  <c r="Z154" i="8"/>
  <c r="Z176" i="8"/>
  <c r="BB125" i="8"/>
  <c r="AN135" i="8"/>
  <c r="BB124" i="8"/>
  <c r="Z124" i="8"/>
  <c r="Z128" i="8"/>
  <c r="Z127" i="8"/>
  <c r="AM95" i="8"/>
  <c r="AR95" i="8"/>
  <c r="BB135" i="8"/>
  <c r="BB154" i="8"/>
  <c r="Z107" i="8"/>
  <c r="Z111" i="8"/>
  <c r="Z110" i="8"/>
  <c r="BB108" i="8"/>
  <c r="BB107" i="8"/>
  <c r="Z155" i="8"/>
  <c r="BB175" i="8"/>
  <c r="Z175" i="8"/>
  <c r="BB174" i="8"/>
  <c r="Z174" i="8"/>
  <c r="Z173" i="8"/>
  <c r="Z178" i="8"/>
  <c r="Z177" i="8"/>
  <c r="BB153" i="8"/>
  <c r="BB152" i="8"/>
  <c r="BB157" i="8"/>
  <c r="BB156" i="8"/>
  <c r="Z153" i="8"/>
  <c r="Z152" i="8"/>
  <c r="Z157" i="8"/>
  <c r="Z156" i="8"/>
  <c r="BB134" i="8"/>
  <c r="BB133" i="8"/>
  <c r="BB137" i="8"/>
  <c r="BB136" i="8"/>
  <c r="AN133" i="8"/>
  <c r="AN137" i="8"/>
  <c r="AN136" i="8"/>
  <c r="Z136" i="8"/>
  <c r="Z135" i="8"/>
  <c r="Z133" i="8"/>
  <c r="Z137" i="8"/>
  <c r="BB117" i="8"/>
  <c r="BB116" i="8"/>
  <c r="AN117" i="8"/>
  <c r="AN116" i="8"/>
  <c r="Y93" i="8"/>
  <c r="AD86" i="8"/>
  <c r="X116" i="8" s="1"/>
  <c r="Z116" i="8"/>
  <c r="BB115" i="8"/>
  <c r="BB119" i="8"/>
  <c r="BB118" i="8"/>
  <c r="AN115" i="8"/>
  <c r="AN119" i="8"/>
  <c r="AN118" i="8"/>
  <c r="Z119" i="8"/>
  <c r="Z118" i="8"/>
  <c r="BF95" i="8"/>
  <c r="BA95" i="8"/>
  <c r="BA86" i="8"/>
  <c r="BA88" i="8"/>
  <c r="BA90" i="8"/>
  <c r="BA92" i="8"/>
  <c r="BA94" i="8"/>
  <c r="BF88" i="8"/>
  <c r="BF90" i="8"/>
  <c r="BF92" i="8"/>
  <c r="BF94" i="8"/>
  <c r="BA87" i="8"/>
  <c r="BA89" i="8"/>
  <c r="BA91" i="8"/>
  <c r="BA93" i="8"/>
  <c r="BF87" i="8"/>
  <c r="BF89" i="8"/>
  <c r="BF91" i="8"/>
  <c r="BF93" i="8"/>
  <c r="AM88" i="8"/>
  <c r="AM90" i="8"/>
  <c r="AM92" i="8"/>
  <c r="AM94" i="8"/>
  <c r="AR86" i="8"/>
  <c r="AL116" i="8" s="1"/>
  <c r="AR88" i="8"/>
  <c r="AR90" i="8"/>
  <c r="AR92" i="8"/>
  <c r="AR94" i="8"/>
  <c r="AM87" i="8"/>
  <c r="AM91" i="8"/>
  <c r="AM93" i="8"/>
  <c r="AR87" i="8"/>
  <c r="AR89" i="8"/>
  <c r="AR91" i="8"/>
  <c r="AR93" i="8"/>
  <c r="AD94" i="8"/>
  <c r="AD95" i="8"/>
  <c r="Y89" i="8"/>
  <c r="Y87" i="8"/>
  <c r="Y91" i="8"/>
  <c r="Y95" i="8"/>
  <c r="Y94" i="8"/>
  <c r="AD87" i="8"/>
  <c r="AD89" i="8"/>
  <c r="AD91" i="8"/>
  <c r="AD93" i="8"/>
  <c r="Y88" i="8"/>
  <c r="Y90" i="8"/>
  <c r="Y92" i="8"/>
  <c r="AD88" i="8"/>
  <c r="AD90" i="8"/>
  <c r="AD92" i="8"/>
  <c r="AR373" i="8" l="1"/>
  <c r="AR363" i="8"/>
  <c r="AR355" i="8"/>
  <c r="AR368" i="8"/>
  <c r="AD398" i="8"/>
  <c r="N361" i="8"/>
  <c r="O396" i="8"/>
  <c r="AR361" i="8"/>
  <c r="AZ114" i="8"/>
  <c r="BE114" i="8" s="1"/>
  <c r="AZ115" i="8"/>
  <c r="AZ143" i="8"/>
  <c r="AZ108" i="8"/>
  <c r="AZ142" i="8"/>
  <c r="AZ106" i="8"/>
  <c r="BD106" i="8" s="1"/>
  <c r="AZ107" i="8"/>
  <c r="BE107" i="8" s="1"/>
  <c r="AB126" i="8"/>
  <c r="AC128" i="8"/>
  <c r="AB128" i="8"/>
  <c r="AC127" i="8"/>
  <c r="AB127" i="8"/>
  <c r="AC126" i="8"/>
  <c r="BG396" i="8"/>
  <c r="BF396" i="8"/>
  <c r="AS355" i="8"/>
  <c r="BF361" i="8"/>
  <c r="BG361" i="8"/>
  <c r="BG373" i="8"/>
  <c r="BF373" i="8"/>
  <c r="BG390" i="8"/>
  <c r="BF390" i="8"/>
  <c r="AL235" i="8"/>
  <c r="AQ235" i="8" s="1"/>
  <c r="AL214" i="8"/>
  <c r="AQ214" i="8" s="1"/>
  <c r="AL234" i="8"/>
  <c r="AL244" i="8"/>
  <c r="AL226" i="8"/>
  <c r="AQ226" i="8" s="1"/>
  <c r="AL225" i="8"/>
  <c r="AP225" i="8" s="1"/>
  <c r="AL245" i="8"/>
  <c r="AP245" i="8" s="1"/>
  <c r="AQ215" i="8"/>
  <c r="AP215" i="8"/>
  <c r="AS368" i="8"/>
  <c r="AZ165" i="8"/>
  <c r="AZ141" i="8"/>
  <c r="BC106" i="8"/>
  <c r="AZ163" i="8"/>
  <c r="AZ225" i="8"/>
  <c r="AZ245" i="8"/>
  <c r="BD245" i="8" s="1"/>
  <c r="AZ226" i="8"/>
  <c r="BD226" i="8" s="1"/>
  <c r="AZ244" i="8"/>
  <c r="AZ235" i="8"/>
  <c r="BE235" i="8" s="1"/>
  <c r="AZ234" i="8"/>
  <c r="BC124" i="8"/>
  <c r="AZ215" i="8"/>
  <c r="BE215" i="8" s="1"/>
  <c r="AZ214" i="8"/>
  <c r="BC107" i="8"/>
  <c r="AZ124" i="8"/>
  <c r="BE124" i="8" s="1"/>
  <c r="AZ123" i="8"/>
  <c r="BE123" i="8" s="1"/>
  <c r="AZ164" i="8"/>
  <c r="BC123" i="8"/>
  <c r="BE157" i="8"/>
  <c r="BE155" i="8"/>
  <c r="BD155" i="8"/>
  <c r="BD157" i="8"/>
  <c r="BD156" i="8"/>
  <c r="BE156" i="8"/>
  <c r="AZ152" i="8"/>
  <c r="BE152" i="8" s="1"/>
  <c r="AZ173" i="8"/>
  <c r="AM298" i="8"/>
  <c r="AQ298" i="8" s="1"/>
  <c r="AM299" i="8"/>
  <c r="AQ299" i="8" s="1"/>
  <c r="AM314" i="8"/>
  <c r="AR314" i="8" s="1"/>
  <c r="AM281" i="8"/>
  <c r="AR281" i="8" s="1"/>
  <c r="AM329" i="8"/>
  <c r="AR329" i="8" s="1"/>
  <c r="AM284" i="8"/>
  <c r="AQ284" i="8" s="1"/>
  <c r="AM283" i="8"/>
  <c r="AQ283" i="8" s="1"/>
  <c r="AN362" i="8"/>
  <c r="AR362" i="8" s="1"/>
  <c r="AM327" i="8"/>
  <c r="AR327" i="8" s="1"/>
  <c r="AN385" i="8"/>
  <c r="AS385" i="8" s="1"/>
  <c r="AN398" i="8"/>
  <c r="AR398" i="8" s="1"/>
  <c r="AM296" i="8"/>
  <c r="AR296" i="8" s="1"/>
  <c r="AM311" i="8"/>
  <c r="AQ311" i="8" s="1"/>
  <c r="AS390" i="8"/>
  <c r="AR390" i="8"/>
  <c r="AN375" i="8"/>
  <c r="AN397" i="8"/>
  <c r="AS397" i="8" s="1"/>
  <c r="AM328" i="8"/>
  <c r="AQ328" i="8" s="1"/>
  <c r="AM297" i="8"/>
  <c r="Y329" i="8"/>
  <c r="AN374" i="8"/>
  <c r="AR374" i="8" s="1"/>
  <c r="AM313" i="8"/>
  <c r="AQ313" i="8" s="1"/>
  <c r="AM312" i="8"/>
  <c r="AQ312" i="8" s="1"/>
  <c r="AN386" i="8"/>
  <c r="AM282" i="8"/>
  <c r="AQ282" i="8" s="1"/>
  <c r="AS396" i="8"/>
  <c r="AS373" i="8"/>
  <c r="AT373" i="8" s="1"/>
  <c r="AS361" i="8"/>
  <c r="AS363" i="8"/>
  <c r="AR396" i="8"/>
  <c r="AQ314" i="8"/>
  <c r="AQ326" i="8"/>
  <c r="AR326" i="8"/>
  <c r="X214" i="8"/>
  <c r="AB214" i="8" s="1"/>
  <c r="X225" i="8"/>
  <c r="X244" i="8"/>
  <c r="AL175" i="8"/>
  <c r="AP175" i="8" s="1"/>
  <c r="AL154" i="8"/>
  <c r="AQ154" i="8" s="1"/>
  <c r="AL152" i="8"/>
  <c r="AQ152" i="8" s="1"/>
  <c r="AO174" i="8"/>
  <c r="AL174" i="8"/>
  <c r="AQ174" i="8" s="1"/>
  <c r="AO153" i="8"/>
  <c r="AO173" i="8"/>
  <c r="AL153" i="8"/>
  <c r="AQ153" i="8" s="1"/>
  <c r="AL114" i="8"/>
  <c r="AQ114" i="8" s="1"/>
  <c r="AL173" i="8"/>
  <c r="AO152" i="8"/>
  <c r="AP177" i="8"/>
  <c r="AQ178" i="8"/>
  <c r="AP178" i="8"/>
  <c r="AQ176" i="8"/>
  <c r="AP176" i="8"/>
  <c r="AQ177" i="8"/>
  <c r="AP167" i="8"/>
  <c r="AQ168" i="8"/>
  <c r="AP168" i="8"/>
  <c r="AQ166" i="8"/>
  <c r="AP166" i="8"/>
  <c r="AQ167" i="8"/>
  <c r="AP156" i="8"/>
  <c r="AQ157" i="8"/>
  <c r="AP157" i="8"/>
  <c r="AQ155" i="8"/>
  <c r="AP155" i="8"/>
  <c r="AQ156" i="8"/>
  <c r="AP145" i="8"/>
  <c r="AQ146" i="8"/>
  <c r="AP146" i="8"/>
  <c r="AQ144" i="8"/>
  <c r="AP144" i="8"/>
  <c r="AQ145" i="8"/>
  <c r="AP128" i="8"/>
  <c r="AQ126" i="8"/>
  <c r="AP126" i="8"/>
  <c r="AQ127" i="8"/>
  <c r="AP127" i="8"/>
  <c r="AQ128" i="8"/>
  <c r="AP110" i="8"/>
  <c r="AQ111" i="8"/>
  <c r="AP111" i="8"/>
  <c r="AQ109" i="8"/>
  <c r="AP109" i="8"/>
  <c r="AQ110" i="8"/>
  <c r="Y297" i="8"/>
  <c r="AC297" i="8" s="1"/>
  <c r="X226" i="8"/>
  <c r="X234" i="8"/>
  <c r="AB234" i="8" s="1"/>
  <c r="X245" i="8"/>
  <c r="AC245" i="8" s="1"/>
  <c r="X215" i="8"/>
  <c r="X235" i="8"/>
  <c r="AB235" i="8" s="1"/>
  <c r="Y314" i="8"/>
  <c r="O373" i="8"/>
  <c r="N396" i="8"/>
  <c r="N373" i="8"/>
  <c r="AD373" i="8"/>
  <c r="AE373" i="8"/>
  <c r="AE361" i="8"/>
  <c r="AD361" i="8"/>
  <c r="AD396" i="8"/>
  <c r="AE398" i="8"/>
  <c r="AE396" i="8"/>
  <c r="Y313" i="8"/>
  <c r="Y298" i="8"/>
  <c r="Y299" i="8"/>
  <c r="Y328" i="8"/>
  <c r="Y312" i="8"/>
  <c r="Y326" i="8"/>
  <c r="Y296" i="8"/>
  <c r="Y327" i="8"/>
  <c r="AB167" i="8"/>
  <c r="AC168" i="8"/>
  <c r="AB168" i="8"/>
  <c r="AC166" i="8"/>
  <c r="AB166" i="8"/>
  <c r="AC167" i="8"/>
  <c r="AC145" i="8"/>
  <c r="AB145" i="8"/>
  <c r="AC146" i="8"/>
  <c r="AB146" i="8"/>
  <c r="AC144" i="8"/>
  <c r="AB144" i="8"/>
  <c r="BC115" i="8"/>
  <c r="BC153" i="8"/>
  <c r="BC133" i="8"/>
  <c r="BE115" i="8"/>
  <c r="AZ153" i="8"/>
  <c r="BD153" i="8" s="1"/>
  <c r="AZ133" i="8"/>
  <c r="BD133" i="8" s="1"/>
  <c r="BC114" i="8"/>
  <c r="BC174" i="8"/>
  <c r="BC152" i="8"/>
  <c r="BC132" i="8"/>
  <c r="AZ174" i="8"/>
  <c r="BE174" i="8" s="1"/>
  <c r="AZ132" i="8"/>
  <c r="BD132" i="8" s="1"/>
  <c r="BC173" i="8"/>
  <c r="AL134" i="8"/>
  <c r="AQ134" i="8" s="1"/>
  <c r="AZ154" i="8"/>
  <c r="BD154" i="8" s="1"/>
  <c r="AZ134" i="8"/>
  <c r="BD134" i="8" s="1"/>
  <c r="AZ175" i="8"/>
  <c r="BD175" i="8" s="1"/>
  <c r="AO115" i="8"/>
  <c r="AO133" i="8"/>
  <c r="AL115" i="8"/>
  <c r="AP115" i="8" s="1"/>
  <c r="AL133" i="8"/>
  <c r="AP133" i="8" s="1"/>
  <c r="AO114" i="8"/>
  <c r="AO132" i="8"/>
  <c r="AL132" i="8"/>
  <c r="AB110" i="8"/>
  <c r="AC111" i="8"/>
  <c r="AB111" i="8"/>
  <c r="AC109" i="8"/>
  <c r="AB109" i="8"/>
  <c r="AC110" i="8"/>
  <c r="X154" i="8"/>
  <c r="AC154" i="8" s="1"/>
  <c r="X175" i="8"/>
  <c r="AC175" i="8" s="1"/>
  <c r="X134" i="8"/>
  <c r="AC134" i="8" s="1"/>
  <c r="AC114" i="8"/>
  <c r="X173" i="8"/>
  <c r="AA133" i="8"/>
  <c r="X133" i="8"/>
  <c r="AB133" i="8" s="1"/>
  <c r="AA153" i="8"/>
  <c r="AA132" i="8"/>
  <c r="X153" i="8"/>
  <c r="AC153" i="8" s="1"/>
  <c r="AA152" i="8"/>
  <c r="X132" i="8"/>
  <c r="AC132" i="8" s="1"/>
  <c r="AA174" i="8"/>
  <c r="X152" i="8"/>
  <c r="X174" i="8"/>
  <c r="AC174" i="8" s="1"/>
  <c r="AA173" i="8"/>
  <c r="AB156" i="8"/>
  <c r="AC157" i="8"/>
  <c r="AB157" i="8"/>
  <c r="AC155" i="8"/>
  <c r="AB155" i="8"/>
  <c r="AC156" i="8"/>
  <c r="BD136" i="8"/>
  <c r="BE137" i="8"/>
  <c r="BD137" i="8"/>
  <c r="BE135" i="8"/>
  <c r="BD135" i="8"/>
  <c r="BE136" i="8"/>
  <c r="AP136" i="8"/>
  <c r="AQ137" i="8"/>
  <c r="AP137" i="8"/>
  <c r="AQ135" i="8"/>
  <c r="AP135" i="8"/>
  <c r="AQ136" i="8"/>
  <c r="AB135" i="8"/>
  <c r="AC135" i="8"/>
  <c r="AC136" i="8"/>
  <c r="AB136" i="8"/>
  <c r="AC137" i="8"/>
  <c r="AB137" i="8"/>
  <c r="AA114" i="8"/>
  <c r="AC115" i="8"/>
  <c r="AA115" i="8"/>
  <c r="BE118" i="8"/>
  <c r="BD118" i="8"/>
  <c r="BE119" i="8"/>
  <c r="BD119" i="8"/>
  <c r="BE117" i="8"/>
  <c r="BD117" i="8"/>
  <c r="AQ118" i="8"/>
  <c r="AP118" i="8"/>
  <c r="AQ119" i="8"/>
  <c r="AP119" i="8"/>
  <c r="AQ117" i="8"/>
  <c r="AP117" i="8"/>
  <c r="AB118" i="8"/>
  <c r="AC119" i="8"/>
  <c r="AB119" i="8"/>
  <c r="AC117" i="8"/>
  <c r="AB117" i="8"/>
  <c r="AC118" i="8"/>
  <c r="P396" i="8" l="1"/>
  <c r="AT355" i="8"/>
  <c r="AR385" i="8"/>
  <c r="AT385" i="8" s="1"/>
  <c r="AR397" i="8"/>
  <c r="AT397" i="8" s="1"/>
  <c r="AS386" i="8"/>
  <c r="AR386" i="8"/>
  <c r="AS375" i="8"/>
  <c r="AR375" i="8"/>
  <c r="AQ296" i="8"/>
  <c r="AS296" i="8" s="1"/>
  <c r="AS398" i="8"/>
  <c r="AT398" i="8" s="1"/>
  <c r="AP134" i="8"/>
  <c r="AR134" i="8" s="1"/>
  <c r="AD128" i="8"/>
  <c r="AQ245" i="8"/>
  <c r="AR245" i="8" s="1"/>
  <c r="AQ115" i="8"/>
  <c r="AR115" i="8" s="1"/>
  <c r="AD126" i="8"/>
  <c r="AD127" i="8"/>
  <c r="AP154" i="8"/>
  <c r="AR154" i="8" s="1"/>
  <c r="BE175" i="8"/>
  <c r="BF175" i="8" s="1"/>
  <c r="BE154" i="8"/>
  <c r="BF154" i="8" s="1"/>
  <c r="AB134" i="8"/>
  <c r="AD134" i="8" s="1"/>
  <c r="AB154" i="8"/>
  <c r="AD154" i="8" s="1"/>
  <c r="AQ175" i="8"/>
  <c r="AR175" i="8" s="1"/>
  <c r="AB175" i="8"/>
  <c r="AD175" i="8" s="1"/>
  <c r="BE153" i="8"/>
  <c r="BF153" i="8" s="1"/>
  <c r="AP226" i="8"/>
  <c r="AR226" i="8" s="1"/>
  <c r="AB174" i="8"/>
  <c r="AD174" i="8" s="1"/>
  <c r="BD115" i="8"/>
  <c r="BF115" i="8" s="1"/>
  <c r="AP235" i="8"/>
  <c r="AR235" i="8" s="1"/>
  <c r="BD215" i="8"/>
  <c r="BF215" i="8" s="1"/>
  <c r="BD235" i="8"/>
  <c r="BF235" i="8" s="1"/>
  <c r="BD174" i="8"/>
  <c r="BF174" i="8" s="1"/>
  <c r="BE133" i="8"/>
  <c r="BF133" i="8" s="1"/>
  <c r="BE226" i="8"/>
  <c r="BF226" i="8" s="1"/>
  <c r="AP174" i="8"/>
  <c r="AR174" i="8" s="1"/>
  <c r="BE245" i="8"/>
  <c r="BF245" i="8" s="1"/>
  <c r="AP153" i="8"/>
  <c r="AR153" i="8" s="1"/>
  <c r="AQ133" i="8"/>
  <c r="AR133" i="8" s="1"/>
  <c r="AB245" i="8"/>
  <c r="AD245" i="8" s="1"/>
  <c r="AB153" i="8"/>
  <c r="AD153" i="8" s="1"/>
  <c r="AB115" i="8"/>
  <c r="AD115" i="8" s="1"/>
  <c r="AC133" i="8"/>
  <c r="AD133" i="8" s="1"/>
  <c r="BD124" i="8"/>
  <c r="BF124" i="8" s="1"/>
  <c r="BD123" i="8"/>
  <c r="BF123" i="8" s="1"/>
  <c r="BE106" i="8"/>
  <c r="BF106" i="8" s="1"/>
  <c r="AQ281" i="8"/>
  <c r="AS281" i="8" s="1"/>
  <c r="AR311" i="8"/>
  <c r="AS311" i="8" s="1"/>
  <c r="AQ327" i="8"/>
  <c r="AS327" i="8" s="1"/>
  <c r="AR328" i="8"/>
  <c r="AS328" i="8" s="1"/>
  <c r="AR298" i="8"/>
  <c r="AS298" i="8" s="1"/>
  <c r="AR283" i="8"/>
  <c r="AS283" i="8" s="1"/>
  <c r="AR284" i="8"/>
  <c r="AS284" i="8" s="1"/>
  <c r="AR299" i="8"/>
  <c r="AS299" i="8" s="1"/>
  <c r="AQ329" i="8"/>
  <c r="AS329" i="8" s="1"/>
  <c r="AR313" i="8"/>
  <c r="AS313" i="8" s="1"/>
  <c r="BH396" i="8"/>
  <c r="AP214" i="8"/>
  <c r="AR214" i="8" s="1"/>
  <c r="BD107" i="8"/>
  <c r="BF107" i="8" s="1"/>
  <c r="AS362" i="8"/>
  <c r="BH361" i="8"/>
  <c r="BH373" i="8"/>
  <c r="BH390" i="8"/>
  <c r="AT368" i="8"/>
  <c r="AT390" i="8"/>
  <c r="AR215" i="8"/>
  <c r="BD244" i="8"/>
  <c r="BE244" i="8"/>
  <c r="BD234" i="8"/>
  <c r="BE234" i="8"/>
  <c r="BD225" i="8"/>
  <c r="BE225" i="8"/>
  <c r="BF119" i="8"/>
  <c r="BF135" i="8"/>
  <c r="BD214" i="8"/>
  <c r="BE214" i="8"/>
  <c r="BF157" i="8"/>
  <c r="BD114" i="8"/>
  <c r="BF156" i="8"/>
  <c r="BD152" i="8"/>
  <c r="BF152" i="8" s="1"/>
  <c r="BE132" i="8"/>
  <c r="BF132" i="8" s="1"/>
  <c r="BF155" i="8"/>
  <c r="BE173" i="8"/>
  <c r="BD173" i="8"/>
  <c r="AP152" i="8"/>
  <c r="AR152" i="8" s="1"/>
  <c r="AR282" i="8"/>
  <c r="AS282" i="8" s="1"/>
  <c r="AR297" i="8"/>
  <c r="AQ297" i="8"/>
  <c r="AR312" i="8"/>
  <c r="AS312" i="8" s="1"/>
  <c r="AS314" i="8"/>
  <c r="AR155" i="8"/>
  <c r="AR168" i="8"/>
  <c r="AT361" i="8"/>
  <c r="AT363" i="8"/>
  <c r="AS374" i="8"/>
  <c r="AT374" i="8" s="1"/>
  <c r="AF373" i="8"/>
  <c r="AR146" i="8"/>
  <c r="AT396" i="8"/>
  <c r="AS326" i="8"/>
  <c r="AR111" i="8"/>
  <c r="AQ132" i="8"/>
  <c r="AP132" i="8"/>
  <c r="AP173" i="8"/>
  <c r="AQ173" i="8"/>
  <c r="AR177" i="8"/>
  <c r="AR176" i="8"/>
  <c r="AR166" i="8"/>
  <c r="AR178" i="8"/>
  <c r="AR167" i="8"/>
  <c r="AR157" i="8"/>
  <c r="AR144" i="8"/>
  <c r="AR156" i="8"/>
  <c r="AR127" i="8"/>
  <c r="AR145" i="8"/>
  <c r="AR126" i="8"/>
  <c r="AR109" i="8"/>
  <c r="AR128" i="8"/>
  <c r="AR110" i="8"/>
  <c r="BE134" i="8"/>
  <c r="BF134" i="8" s="1"/>
  <c r="BF118" i="8"/>
  <c r="BF137" i="8"/>
  <c r="AR119" i="8"/>
  <c r="AB244" i="8"/>
  <c r="AC244" i="8"/>
  <c r="P373" i="8"/>
  <c r="AF396" i="8"/>
  <c r="AB114" i="8"/>
  <c r="AF398" i="8"/>
  <c r="AF361" i="8"/>
  <c r="AD155" i="8"/>
  <c r="AD166" i="8"/>
  <c r="AD146" i="8"/>
  <c r="AD109" i="8"/>
  <c r="AR117" i="8"/>
  <c r="AP114" i="8"/>
  <c r="AR114" i="8" s="1"/>
  <c r="AR135" i="8"/>
  <c r="AD136" i="8"/>
  <c r="AD144" i="8"/>
  <c r="AD168" i="8"/>
  <c r="AB173" i="8"/>
  <c r="AC173" i="8"/>
  <c r="AC152" i="8"/>
  <c r="AB152" i="8"/>
  <c r="AD167" i="8"/>
  <c r="AD145" i="8"/>
  <c r="AB132" i="8"/>
  <c r="AD132" i="8" s="1"/>
  <c r="AD111" i="8"/>
  <c r="AD117" i="8"/>
  <c r="AD137" i="8"/>
  <c r="AR137" i="8"/>
  <c r="AD110" i="8"/>
  <c r="AD157" i="8"/>
  <c r="AD156" i="8"/>
  <c r="BF136" i="8"/>
  <c r="AR136" i="8"/>
  <c r="AD135" i="8"/>
  <c r="BF117" i="8"/>
  <c r="AR118" i="8"/>
  <c r="AD119" i="8"/>
  <c r="AD118" i="8"/>
  <c r="AT386" i="8" l="1"/>
  <c r="AT375" i="8"/>
  <c r="AT362" i="8"/>
  <c r="BF225" i="8"/>
  <c r="BF234" i="8"/>
  <c r="BF244" i="8"/>
  <c r="BF214" i="8"/>
  <c r="BF173" i="8"/>
  <c r="AS297" i="8"/>
  <c r="AR132" i="8"/>
  <c r="AR173" i="8"/>
  <c r="AD244" i="8"/>
  <c r="AD152" i="8"/>
  <c r="AD173" i="8"/>
  <c r="AD114" i="8"/>
  <c r="BF114" i="8"/>
  <c r="K386" i="8" l="1"/>
  <c r="K385" i="8"/>
  <c r="K379" i="8"/>
  <c r="K384" i="8"/>
  <c r="K381" i="8"/>
  <c r="K380" i="8"/>
  <c r="H351" i="8"/>
  <c r="H350" i="8"/>
  <c r="H349" i="8"/>
  <c r="H347" i="8"/>
  <c r="H346" i="8"/>
  <c r="Y351" i="8"/>
  <c r="Y350" i="8"/>
  <c r="Y349" i="8"/>
  <c r="Y348" i="8"/>
  <c r="Y347" i="8"/>
  <c r="Y346" i="8"/>
  <c r="H335" i="8"/>
  <c r="H334" i="8"/>
  <c r="Y360" i="8"/>
  <c r="X360" i="8"/>
  <c r="I360" i="8"/>
  <c r="H360" i="8"/>
  <c r="J325" i="8"/>
  <c r="J326" i="8"/>
  <c r="J327" i="8"/>
  <c r="J328" i="8"/>
  <c r="J329" i="8"/>
  <c r="J314" i="8"/>
  <c r="J313" i="8"/>
  <c r="J312" i="8"/>
  <c r="J311" i="8"/>
  <c r="J310" i="8"/>
  <c r="J296" i="8"/>
  <c r="J297" i="8"/>
  <c r="J298" i="8"/>
  <c r="J299" i="8"/>
  <c r="J295" i="8"/>
  <c r="J281" i="8"/>
  <c r="J282" i="8"/>
  <c r="J283" i="8"/>
  <c r="J284" i="8"/>
  <c r="J285" i="8"/>
  <c r="J280" i="8"/>
  <c r="H261" i="8"/>
  <c r="I260" i="8" s="1"/>
  <c r="M268" i="8"/>
  <c r="I245" i="8"/>
  <c r="I244" i="8"/>
  <c r="I241" i="8"/>
  <c r="I240" i="8"/>
  <c r="I235" i="8"/>
  <c r="I234" i="8"/>
  <c r="I226" i="8"/>
  <c r="I215" i="8"/>
  <c r="I214" i="8"/>
  <c r="I220" i="8"/>
  <c r="Y220" i="8"/>
  <c r="AM220" i="8"/>
  <c r="AN220" i="8" s="1"/>
  <c r="BA220" i="8"/>
  <c r="BB220" i="8" s="1"/>
  <c r="I211" i="8"/>
  <c r="H198" i="8"/>
  <c r="H199" i="8"/>
  <c r="H200" i="8"/>
  <c r="H202" i="8"/>
  <c r="H203" i="8"/>
  <c r="H204" i="8"/>
  <c r="H205" i="8"/>
  <c r="H206" i="8"/>
  <c r="H197" i="8"/>
  <c r="H187" i="8"/>
  <c r="I210" i="8"/>
  <c r="BA210" i="8"/>
  <c r="Y211" i="8"/>
  <c r="BA211" i="8"/>
  <c r="I221" i="8"/>
  <c r="Y221" i="8"/>
  <c r="I197" i="8" l="1"/>
  <c r="I344" i="8"/>
  <c r="N260" i="8"/>
  <c r="I281" i="8" s="1"/>
  <c r="BB215" i="8"/>
  <c r="BA296" i="8"/>
  <c r="BA282" i="8"/>
  <c r="BA313" i="8"/>
  <c r="BA312" i="8"/>
  <c r="BA299" i="8"/>
  <c r="BA281" i="8"/>
  <c r="BA327" i="8"/>
  <c r="BA326" i="8"/>
  <c r="BA314" i="8"/>
  <c r="BA329" i="8"/>
  <c r="BA311" i="8"/>
  <c r="BA298" i="8"/>
  <c r="BA284" i="8"/>
  <c r="BA328" i="8"/>
  <c r="BA297" i="8"/>
  <c r="BA283" i="8"/>
  <c r="J226" i="8"/>
  <c r="J225" i="8"/>
  <c r="L380" i="8"/>
  <c r="L379" i="8"/>
  <c r="L381" i="8"/>
  <c r="L386" i="8"/>
  <c r="L385" i="8"/>
  <c r="L384" i="8"/>
  <c r="K282" i="8"/>
  <c r="I345" i="8"/>
  <c r="I348" i="8"/>
  <c r="I351" i="8"/>
  <c r="I350" i="8"/>
  <c r="I347" i="8"/>
  <c r="I346" i="8"/>
  <c r="I352" i="8"/>
  <c r="I349" i="8"/>
  <c r="K325" i="8"/>
  <c r="K329" i="8"/>
  <c r="K328" i="8"/>
  <c r="K326" i="8"/>
  <c r="K327" i="8"/>
  <c r="K310" i="8"/>
  <c r="K311" i="8"/>
  <c r="K313" i="8"/>
  <c r="K314" i="8"/>
  <c r="K312" i="8"/>
  <c r="K296" i="8"/>
  <c r="K298" i="8"/>
  <c r="K297" i="8"/>
  <c r="K295" i="8"/>
  <c r="K299" i="8"/>
  <c r="K281" i="8"/>
  <c r="K283" i="8"/>
  <c r="I280" i="8"/>
  <c r="K280" i="8"/>
  <c r="K285" i="8"/>
  <c r="K284" i="8"/>
  <c r="N263" i="8"/>
  <c r="N262" i="8"/>
  <c r="N264" i="8"/>
  <c r="N268" i="8"/>
  <c r="N267" i="8"/>
  <c r="N266" i="8"/>
  <c r="J244" i="8"/>
  <c r="N265" i="8"/>
  <c r="N261" i="8"/>
  <c r="J241" i="8"/>
  <c r="J245" i="8"/>
  <c r="J234" i="8"/>
  <c r="J240" i="8"/>
  <c r="J215" i="8"/>
  <c r="Z220" i="8"/>
  <c r="Z215" i="8"/>
  <c r="J214" i="8"/>
  <c r="J220" i="8"/>
  <c r="J210" i="8"/>
  <c r="I202" i="8"/>
  <c r="I205" i="8"/>
  <c r="I204" i="8"/>
  <c r="I203" i="8"/>
  <c r="I198" i="8"/>
  <c r="I201" i="8"/>
  <c r="I200" i="8"/>
  <c r="I199" i="8"/>
  <c r="I206" i="8"/>
  <c r="BB221" i="8"/>
  <c r="J221" i="8"/>
  <c r="BB210" i="8"/>
  <c r="AN221" i="8"/>
  <c r="Z210" i="8"/>
  <c r="J211" i="8"/>
  <c r="BB211" i="8"/>
  <c r="Z221" i="8"/>
  <c r="Z211" i="8"/>
  <c r="I296" i="8" l="1"/>
  <c r="N281" i="8"/>
  <c r="M281" i="8"/>
  <c r="BF284" i="8"/>
  <c r="BE284" i="8"/>
  <c r="BE299" i="8"/>
  <c r="BF299" i="8"/>
  <c r="BE329" i="8"/>
  <c r="BF329" i="8"/>
  <c r="BF314" i="8"/>
  <c r="BE314" i="8"/>
  <c r="BF281" i="8"/>
  <c r="BE281" i="8"/>
  <c r="BE311" i="8"/>
  <c r="BF311" i="8"/>
  <c r="BE296" i="8"/>
  <c r="BF296" i="8"/>
  <c r="BF326" i="8"/>
  <c r="BE326" i="8"/>
  <c r="BE328" i="8"/>
  <c r="BF328" i="8"/>
  <c r="BE298" i="8"/>
  <c r="BF298" i="8"/>
  <c r="BF313" i="8"/>
  <c r="BE313" i="8"/>
  <c r="BE283" i="8"/>
  <c r="BF283" i="8"/>
  <c r="BE297" i="8"/>
  <c r="BF297" i="8"/>
  <c r="BF327" i="8"/>
  <c r="BE327" i="8"/>
  <c r="BE282" i="8"/>
  <c r="BF282" i="8"/>
  <c r="BE312" i="8"/>
  <c r="BF312" i="8"/>
  <c r="H225" i="8"/>
  <c r="M225" i="8" s="1"/>
  <c r="H234" i="8"/>
  <c r="J362" i="8"/>
  <c r="N362" i="8" s="1"/>
  <c r="J397" i="8"/>
  <c r="N397" i="8" s="1"/>
  <c r="O361" i="8"/>
  <c r="J385" i="8"/>
  <c r="N385" i="8" s="1"/>
  <c r="J374" i="8"/>
  <c r="N374" i="8" s="1"/>
  <c r="J398" i="8"/>
  <c r="N398" i="8" s="1"/>
  <c r="J386" i="8"/>
  <c r="N386" i="8" s="1"/>
  <c r="J375" i="8"/>
  <c r="N375" i="8" s="1"/>
  <c r="J363" i="8"/>
  <c r="N363" i="8" s="1"/>
  <c r="I328" i="8"/>
  <c r="I329" i="8"/>
  <c r="N329" i="8" s="1"/>
  <c r="I327" i="8"/>
  <c r="M327" i="8" s="1"/>
  <c r="I326" i="8"/>
  <c r="M326" i="8" s="1"/>
  <c r="I325" i="8"/>
  <c r="M325" i="8" s="1"/>
  <c r="I310" i="8"/>
  <c r="N310" i="8" s="1"/>
  <c r="I311" i="8"/>
  <c r="N311" i="8" s="1"/>
  <c r="I313" i="8"/>
  <c r="I312" i="8"/>
  <c r="N312" i="8" s="1"/>
  <c r="I314" i="8"/>
  <c r="M314" i="8" s="1"/>
  <c r="M280" i="8"/>
  <c r="I295" i="8"/>
  <c r="M295" i="8" s="1"/>
  <c r="I297" i="8"/>
  <c r="N297" i="8" s="1"/>
  <c r="I299" i="8"/>
  <c r="M299" i="8" s="1"/>
  <c r="I298" i="8"/>
  <c r="N298" i="8" s="1"/>
  <c r="N296" i="8"/>
  <c r="M296" i="8"/>
  <c r="N295" i="8"/>
  <c r="M285" i="8"/>
  <c r="N285" i="8"/>
  <c r="I283" i="8"/>
  <c r="M283" i="8" s="1"/>
  <c r="I282" i="8"/>
  <c r="M282" i="8" s="1"/>
  <c r="I285" i="8"/>
  <c r="I284" i="8"/>
  <c r="N284" i="8" s="1"/>
  <c r="H235" i="8"/>
  <c r="M235" i="8" s="1"/>
  <c r="H245" i="8"/>
  <c r="L245" i="8" s="1"/>
  <c r="H244" i="8"/>
  <c r="H214" i="8"/>
  <c r="H226" i="8"/>
  <c r="L226" i="8" s="1"/>
  <c r="H215" i="8"/>
  <c r="M215" i="8" s="1"/>
  <c r="M310" i="8" l="1"/>
  <c r="O310" i="8" s="1"/>
  <c r="N325" i="8"/>
  <c r="O325" i="8" s="1"/>
  <c r="O386" i="8"/>
  <c r="P386" i="8" s="1"/>
  <c r="O375" i="8"/>
  <c r="O398" i="8"/>
  <c r="O363" i="8"/>
  <c r="P363" i="8" s="1"/>
  <c r="N280" i="8"/>
  <c r="O280" i="8" s="1"/>
  <c r="N326" i="8"/>
  <c r="O326" i="8" s="1"/>
  <c r="M311" i="8"/>
  <c r="O311" i="8" s="1"/>
  <c r="M329" i="8"/>
  <c r="O329" i="8" s="1"/>
  <c r="N314" i="8"/>
  <c r="O314" i="8" s="1"/>
  <c r="BG299" i="8"/>
  <c r="BG314" i="8"/>
  <c r="BG284" i="8"/>
  <c r="BG329" i="8"/>
  <c r="N299" i="8"/>
  <c r="O299" i="8" s="1"/>
  <c r="M284" i="8"/>
  <c r="O284" i="8" s="1"/>
  <c r="BG326" i="8"/>
  <c r="BG281" i="8"/>
  <c r="BG296" i="8"/>
  <c r="BG311" i="8"/>
  <c r="BG313" i="8"/>
  <c r="BG327" i="8"/>
  <c r="BG298" i="8"/>
  <c r="BG283" i="8"/>
  <c r="BG328" i="8"/>
  <c r="BG297" i="8"/>
  <c r="BG282" i="8"/>
  <c r="BG312" i="8"/>
  <c r="N282" i="8"/>
  <c r="O282" i="8" s="1"/>
  <c r="M297" i="8"/>
  <c r="O297" i="8" s="1"/>
  <c r="O385" i="8"/>
  <c r="P385" i="8" s="1"/>
  <c r="O362" i="8"/>
  <c r="P362" i="8" s="1"/>
  <c r="O397" i="8"/>
  <c r="O374" i="8"/>
  <c r="M312" i="8"/>
  <c r="O312" i="8" s="1"/>
  <c r="N327" i="8"/>
  <c r="O327" i="8" s="1"/>
  <c r="L215" i="8"/>
  <c r="N215" i="8" s="1"/>
  <c r="L235" i="8"/>
  <c r="N235" i="8" s="1"/>
  <c r="M245" i="8"/>
  <c r="N245" i="8" s="1"/>
  <c r="M226" i="8"/>
  <c r="N226" i="8" s="1"/>
  <c r="L225" i="8"/>
  <c r="N225" i="8" s="1"/>
  <c r="P361" i="8"/>
  <c r="M298" i="8"/>
  <c r="O298" i="8" s="1"/>
  <c r="N328" i="8"/>
  <c r="M328" i="8"/>
  <c r="N313" i="8"/>
  <c r="M313" i="8"/>
  <c r="O285" i="8"/>
  <c r="N283" i="8"/>
  <c r="O283" i="8" s="1"/>
  <c r="O295" i="8"/>
  <c r="O296" i="8"/>
  <c r="M244" i="8"/>
  <c r="L244" i="8"/>
  <c r="M234" i="8"/>
  <c r="L234" i="8"/>
  <c r="M214" i="8"/>
  <c r="L214" i="8"/>
  <c r="P397" i="8" l="1"/>
  <c r="P398" i="8"/>
  <c r="P375" i="8"/>
  <c r="P374" i="8"/>
  <c r="O328" i="8"/>
  <c r="N234" i="8"/>
  <c r="O313" i="8"/>
  <c r="N244" i="8"/>
  <c r="N214" i="8"/>
  <c r="K109" i="8" l="1"/>
  <c r="K157" i="8"/>
  <c r="K156" i="8"/>
  <c r="K155" i="8"/>
  <c r="K154" i="8"/>
  <c r="I128" i="8"/>
  <c r="I127" i="8"/>
  <c r="I126" i="8"/>
  <c r="I178" i="8"/>
  <c r="I177" i="8"/>
  <c r="I176" i="8"/>
  <c r="I157" i="8"/>
  <c r="I156" i="8"/>
  <c r="I155" i="8"/>
  <c r="I146" i="8"/>
  <c r="I145" i="8"/>
  <c r="I144" i="8"/>
  <c r="I137" i="8"/>
  <c r="I136" i="8"/>
  <c r="I119" i="8"/>
  <c r="I118" i="8"/>
  <c r="I117" i="8"/>
  <c r="I174" i="8"/>
  <c r="I175" i="8"/>
  <c r="I173" i="8"/>
  <c r="K178" i="8"/>
  <c r="K177" i="8"/>
  <c r="K176" i="8"/>
  <c r="K175" i="8"/>
  <c r="K137" i="8"/>
  <c r="K136" i="8"/>
  <c r="K135" i="8"/>
  <c r="K134" i="8"/>
  <c r="I134" i="8"/>
  <c r="I133" i="8"/>
  <c r="I132" i="8"/>
  <c r="I116" i="8"/>
  <c r="I115" i="8"/>
  <c r="I114" i="8"/>
  <c r="I154" i="8"/>
  <c r="I153" i="8"/>
  <c r="I142" i="8"/>
  <c r="I143" i="8"/>
  <c r="I141" i="8"/>
  <c r="I124" i="8"/>
  <c r="I125" i="8"/>
  <c r="I123" i="8"/>
  <c r="K116" i="8"/>
  <c r="K119" i="8"/>
  <c r="K118" i="8"/>
  <c r="K117" i="8"/>
  <c r="H431" i="8"/>
  <c r="H440" i="8"/>
  <c r="H432" i="8"/>
  <c r="H433" i="8"/>
  <c r="H434" i="8"/>
  <c r="H435" i="8"/>
  <c r="H436" i="8"/>
  <c r="H437" i="8"/>
  <c r="H438" i="8"/>
  <c r="H439" i="8"/>
  <c r="H185" i="8"/>
  <c r="H75" i="8"/>
  <c r="H188" i="8"/>
  <c r="M87" i="8"/>
  <c r="M88" i="8"/>
  <c r="M90" i="8"/>
  <c r="M91" i="8"/>
  <c r="M92" i="8"/>
  <c r="M93" i="8"/>
  <c r="M94" i="8"/>
  <c r="M95" i="8"/>
  <c r="H90" i="8"/>
  <c r="H91" i="8"/>
  <c r="H92" i="8"/>
  <c r="H93" i="8"/>
  <c r="H94" i="8"/>
  <c r="H95" i="8"/>
  <c r="H86" i="8"/>
  <c r="AA392" i="8"/>
  <c r="K392" i="8"/>
  <c r="AA391" i="8"/>
  <c r="K391" i="8"/>
  <c r="AA390" i="8"/>
  <c r="K390" i="8"/>
  <c r="AA381" i="8"/>
  <c r="BC380" i="8"/>
  <c r="AA380" i="8"/>
  <c r="BC379" i="8"/>
  <c r="AA379" i="8"/>
  <c r="BC370" i="8"/>
  <c r="AA370" i="8"/>
  <c r="K370" i="8"/>
  <c r="BC369" i="8"/>
  <c r="AA369" i="8"/>
  <c r="K369" i="8"/>
  <c r="BC368" i="8"/>
  <c r="AA368" i="8"/>
  <c r="K368" i="8"/>
  <c r="BC357" i="8"/>
  <c r="AA357" i="8"/>
  <c r="K357" i="8"/>
  <c r="BC356" i="8"/>
  <c r="K356" i="8"/>
  <c r="BC355" i="8"/>
  <c r="Y354" i="8"/>
  <c r="X354" i="8"/>
  <c r="I354" i="8"/>
  <c r="H354" i="8"/>
  <c r="BA341" i="8"/>
  <c r="AZ341" i="8"/>
  <c r="AM341" i="8"/>
  <c r="AL341" i="8"/>
  <c r="Y341" i="8"/>
  <c r="X341" i="8"/>
  <c r="I341" i="8"/>
  <c r="H341" i="8"/>
  <c r="BA340" i="8"/>
  <c r="AZ340" i="8"/>
  <c r="AM340" i="8"/>
  <c r="AL340" i="8"/>
  <c r="Y340" i="8"/>
  <c r="X340" i="8"/>
  <c r="I340" i="8"/>
  <c r="H340" i="8"/>
  <c r="BA339" i="8"/>
  <c r="AZ339" i="8"/>
  <c r="AM339" i="8"/>
  <c r="AL339" i="8"/>
  <c r="Y339" i="8"/>
  <c r="X339" i="8"/>
  <c r="I339" i="8"/>
  <c r="H339" i="8"/>
  <c r="BA338" i="8"/>
  <c r="AZ338" i="8"/>
  <c r="AM338" i="8"/>
  <c r="AL338" i="8"/>
  <c r="Y338" i="8"/>
  <c r="X338" i="8"/>
  <c r="I338" i="8"/>
  <c r="H338" i="8"/>
  <c r="BA337" i="8"/>
  <c r="AZ337" i="8"/>
  <c r="AM337" i="8"/>
  <c r="Y337" i="8"/>
  <c r="X337" i="8"/>
  <c r="I337" i="8"/>
  <c r="H337" i="8"/>
  <c r="BA336" i="8"/>
  <c r="AM336" i="8"/>
  <c r="Y336" i="8"/>
  <c r="I336" i="8"/>
  <c r="BA335" i="8"/>
  <c r="AZ335" i="8"/>
  <c r="AM335" i="8"/>
  <c r="AL335" i="8"/>
  <c r="Y335" i="8"/>
  <c r="I335" i="8"/>
  <c r="AZ334" i="8"/>
  <c r="AL334" i="8"/>
  <c r="X334" i="8"/>
  <c r="Z322" i="8"/>
  <c r="J322" i="8"/>
  <c r="Z321" i="8"/>
  <c r="J321" i="8"/>
  <c r="Z320" i="8"/>
  <c r="J320" i="8"/>
  <c r="Z319" i="8"/>
  <c r="J319" i="8"/>
  <c r="Z318" i="8"/>
  <c r="J318" i="8"/>
  <c r="AN307" i="8"/>
  <c r="Z307" i="8"/>
  <c r="J307" i="8"/>
  <c r="AN306" i="8"/>
  <c r="Z306" i="8"/>
  <c r="J306" i="8"/>
  <c r="AN305" i="8"/>
  <c r="Z305" i="8"/>
  <c r="J305" i="8"/>
  <c r="AN304" i="8"/>
  <c r="Z304" i="8"/>
  <c r="J304" i="8"/>
  <c r="AN303" i="8"/>
  <c r="Z303" i="8"/>
  <c r="J303" i="8"/>
  <c r="AN292" i="8"/>
  <c r="Z292" i="8"/>
  <c r="J292" i="8"/>
  <c r="AN291" i="8"/>
  <c r="Z291" i="8"/>
  <c r="J291" i="8"/>
  <c r="AN290" i="8"/>
  <c r="Z290" i="8"/>
  <c r="J290" i="8"/>
  <c r="AN289" i="8"/>
  <c r="Z289" i="8"/>
  <c r="J289" i="8"/>
  <c r="AN288" i="8"/>
  <c r="Z288" i="8"/>
  <c r="J288" i="8"/>
  <c r="J277" i="8"/>
  <c r="Z276" i="8"/>
  <c r="J276" i="8"/>
  <c r="J275" i="8"/>
  <c r="Z274" i="8"/>
  <c r="J274" i="8"/>
  <c r="Z273" i="8"/>
  <c r="Z272" i="8"/>
  <c r="J272" i="8"/>
  <c r="AC258" i="8"/>
  <c r="M258" i="8"/>
  <c r="AQ257" i="8"/>
  <c r="AC257" i="8"/>
  <c r="M257" i="8"/>
  <c r="AQ256" i="8"/>
  <c r="AC256" i="8"/>
  <c r="M256" i="8"/>
  <c r="AQ255" i="8"/>
  <c r="AC255" i="8"/>
  <c r="M255" i="8"/>
  <c r="AQ254" i="8"/>
  <c r="AC254" i="8"/>
  <c r="M254" i="8"/>
  <c r="AQ253" i="8"/>
  <c r="AC253" i="8"/>
  <c r="M253" i="8"/>
  <c r="AQ252" i="8"/>
  <c r="AC252" i="8"/>
  <c r="M252" i="8"/>
  <c r="BE251" i="8"/>
  <c r="BF250" i="8" s="1"/>
  <c r="AQ251" i="8"/>
  <c r="AC251" i="8"/>
  <c r="X251" i="8"/>
  <c r="Y250" i="8" s="1"/>
  <c r="H251" i="8"/>
  <c r="AQ250" i="8"/>
  <c r="H250" i="8"/>
  <c r="BA241" i="8"/>
  <c r="Y241" i="8"/>
  <c r="BA240" i="8"/>
  <c r="Y240" i="8"/>
  <c r="BA231" i="8"/>
  <c r="Y231" i="8"/>
  <c r="I231" i="8"/>
  <c r="BA230" i="8"/>
  <c r="Y230" i="8"/>
  <c r="I230" i="8"/>
  <c r="X195" i="8"/>
  <c r="AL194" i="8"/>
  <c r="X194" i="8"/>
  <c r="H194" i="8"/>
  <c r="AL193" i="8"/>
  <c r="X193" i="8"/>
  <c r="H193" i="8"/>
  <c r="AL192" i="8"/>
  <c r="X192" i="8"/>
  <c r="H192" i="8"/>
  <c r="AL191" i="8"/>
  <c r="X191" i="8"/>
  <c r="H191" i="8"/>
  <c r="AL190" i="8"/>
  <c r="X190" i="8"/>
  <c r="H190" i="8"/>
  <c r="AL189" i="8"/>
  <c r="X189" i="8"/>
  <c r="H189" i="8"/>
  <c r="X188" i="8"/>
  <c r="AL187" i="8"/>
  <c r="X187" i="8"/>
  <c r="AL186" i="8"/>
  <c r="X186" i="8"/>
  <c r="BC168" i="8"/>
  <c r="BA168" i="8"/>
  <c r="K168" i="8"/>
  <c r="I168" i="8"/>
  <c r="BC167" i="8"/>
  <c r="BA167" i="8"/>
  <c r="K167" i="8"/>
  <c r="I167" i="8"/>
  <c r="BC166" i="8"/>
  <c r="BA166" i="8"/>
  <c r="K166" i="8"/>
  <c r="I166" i="8"/>
  <c r="BC165" i="8"/>
  <c r="BA165" i="8"/>
  <c r="K165" i="8"/>
  <c r="I165" i="8"/>
  <c r="BA164" i="8"/>
  <c r="I164" i="8"/>
  <c r="I163" i="8"/>
  <c r="BC146" i="8"/>
  <c r="BA146" i="8"/>
  <c r="K146" i="8"/>
  <c r="BC145" i="8"/>
  <c r="BA145" i="8"/>
  <c r="K145" i="8"/>
  <c r="BC144" i="8"/>
  <c r="BA144" i="8"/>
  <c r="K144" i="8"/>
  <c r="BC143" i="8"/>
  <c r="BA143" i="8"/>
  <c r="K143" i="8"/>
  <c r="K128" i="8"/>
  <c r="K127" i="8"/>
  <c r="K126" i="8"/>
  <c r="K125" i="8"/>
  <c r="K111" i="8"/>
  <c r="I111" i="8"/>
  <c r="K110" i="8"/>
  <c r="I110" i="8"/>
  <c r="I109" i="8"/>
  <c r="I108" i="8"/>
  <c r="I107" i="8"/>
  <c r="X84" i="8"/>
  <c r="H84" i="8"/>
  <c r="X83" i="8"/>
  <c r="H83" i="8"/>
  <c r="AL83" i="8"/>
  <c r="AC82" i="8"/>
  <c r="X82" i="8"/>
  <c r="M82" i="8"/>
  <c r="H82" i="8"/>
  <c r="AL82" i="8"/>
  <c r="AD81" i="8"/>
  <c r="AC81" i="8"/>
  <c r="X81" i="8"/>
  <c r="N81" i="8"/>
  <c r="M81" i="8"/>
  <c r="H81" i="8"/>
  <c r="AR81" i="8"/>
  <c r="AQ81" i="8"/>
  <c r="AL81" i="8"/>
  <c r="AD80" i="8"/>
  <c r="AC80" i="8"/>
  <c r="X80" i="8"/>
  <c r="N80" i="8"/>
  <c r="M80" i="8"/>
  <c r="H80" i="8"/>
  <c r="AR80" i="8"/>
  <c r="AQ80" i="8"/>
  <c r="AL80" i="8"/>
  <c r="AD79" i="8"/>
  <c r="AC79" i="8"/>
  <c r="X79" i="8"/>
  <c r="N79" i="8"/>
  <c r="M79" i="8"/>
  <c r="H79" i="8"/>
  <c r="AR79" i="8"/>
  <c r="AQ79" i="8"/>
  <c r="AL79" i="8"/>
  <c r="AD78" i="8"/>
  <c r="AC78" i="8"/>
  <c r="X78" i="8"/>
  <c r="N78" i="8"/>
  <c r="M78" i="8"/>
  <c r="AR78" i="8"/>
  <c r="AQ78" i="8"/>
  <c r="AL78" i="8"/>
  <c r="AD77" i="8"/>
  <c r="AC77" i="8"/>
  <c r="X77" i="8"/>
  <c r="N77" i="8"/>
  <c r="M77" i="8"/>
  <c r="AR77" i="8"/>
  <c r="AQ77" i="8"/>
  <c r="AL77" i="8"/>
  <c r="AD76" i="8"/>
  <c r="AC76" i="8"/>
  <c r="X76" i="8"/>
  <c r="N76" i="8"/>
  <c r="AR76" i="8"/>
  <c r="AQ76" i="8"/>
  <c r="AL76" i="8"/>
  <c r="AC75" i="8"/>
  <c r="X75" i="8"/>
  <c r="AQ75" i="8"/>
  <c r="AL75" i="8"/>
  <c r="BB70" i="8"/>
  <c r="AN70" i="8"/>
  <c r="Z70" i="8"/>
  <c r="J70" i="8"/>
  <c r="BB68" i="8"/>
  <c r="AN68" i="8"/>
  <c r="Z68" i="8"/>
  <c r="J68" i="8"/>
  <c r="BB67" i="8"/>
  <c r="Z67" i="8"/>
  <c r="J67" i="8"/>
  <c r="BB66" i="8"/>
  <c r="AN66" i="8"/>
  <c r="Z66" i="8"/>
  <c r="J66" i="8"/>
  <c r="Z65" i="8"/>
  <c r="N65" i="8"/>
  <c r="I250" i="8" l="1"/>
  <c r="I272" i="8" s="1"/>
  <c r="AM334" i="8"/>
  <c r="I334" i="8"/>
  <c r="BA334" i="8"/>
  <c r="N250" i="8"/>
  <c r="I273" i="8" s="1"/>
  <c r="AM186" i="8"/>
  <c r="AR250" i="8"/>
  <c r="Y186" i="8"/>
  <c r="X210" i="8" s="1"/>
  <c r="AD250" i="8"/>
  <c r="Y290" i="8" s="1"/>
  <c r="Y334" i="8"/>
  <c r="Z369" i="8" s="1"/>
  <c r="I86" i="8"/>
  <c r="I75" i="8"/>
  <c r="N86" i="8"/>
  <c r="J115" i="8"/>
  <c r="J114" i="8"/>
  <c r="N75" i="8"/>
  <c r="H108" i="8" s="1"/>
  <c r="J106" i="8"/>
  <c r="AA272" i="8"/>
  <c r="K65" i="8"/>
  <c r="BB141" i="8"/>
  <c r="BD143" i="8" s="1"/>
  <c r="BA321" i="8"/>
  <c r="AO305" i="8"/>
  <c r="K66" i="8"/>
  <c r="AA65" i="8"/>
  <c r="BD355" i="8"/>
  <c r="BD357" i="8"/>
  <c r="BD356" i="8"/>
  <c r="BB235" i="8"/>
  <c r="AO65" i="8"/>
  <c r="BC65" i="8"/>
  <c r="AB370" i="8"/>
  <c r="AB368" i="8"/>
  <c r="AB369" i="8"/>
  <c r="L392" i="8"/>
  <c r="L391" i="8"/>
  <c r="L390" i="8"/>
  <c r="AB379" i="8"/>
  <c r="AB381" i="8"/>
  <c r="AB380" i="8"/>
  <c r="AB392" i="8"/>
  <c r="AB391" i="8"/>
  <c r="AB390" i="8"/>
  <c r="L357" i="8"/>
  <c r="L356" i="8"/>
  <c r="L355" i="8"/>
  <c r="AB357" i="8"/>
  <c r="AB356" i="8"/>
  <c r="AB355" i="8"/>
  <c r="L370" i="8"/>
  <c r="L369" i="8"/>
  <c r="L368" i="8"/>
  <c r="BB178" i="8"/>
  <c r="BB177" i="8"/>
  <c r="BB176" i="8"/>
  <c r="AZ125" i="8"/>
  <c r="BB126" i="8"/>
  <c r="BB127" i="8"/>
  <c r="BB128" i="8"/>
  <c r="BB111" i="8"/>
  <c r="BB109" i="8"/>
  <c r="BB110" i="8"/>
  <c r="AD75" i="8"/>
  <c r="Z363" i="8"/>
  <c r="AD363" i="8" s="1"/>
  <c r="AA313" i="8"/>
  <c r="AA314" i="8"/>
  <c r="AA312" i="8"/>
  <c r="AA311" i="8"/>
  <c r="K275" i="8"/>
  <c r="K274" i="8"/>
  <c r="K273" i="8"/>
  <c r="K276" i="8"/>
  <c r="J235" i="8"/>
  <c r="Z235" i="8"/>
  <c r="J157" i="8"/>
  <c r="L157" i="8" s="1"/>
  <c r="J154" i="8"/>
  <c r="I185" i="8"/>
  <c r="H210" i="8" s="1"/>
  <c r="J155" i="8"/>
  <c r="J166" i="8"/>
  <c r="J153" i="8"/>
  <c r="J177" i="8"/>
  <c r="J175" i="8"/>
  <c r="J156" i="8"/>
  <c r="J173" i="8"/>
  <c r="J174" i="8"/>
  <c r="J132" i="8"/>
  <c r="J178" i="8"/>
  <c r="J176" i="8"/>
  <c r="J141" i="8"/>
  <c r="J137" i="8"/>
  <c r="J135" i="8"/>
  <c r="J134" i="8"/>
  <c r="J133" i="8"/>
  <c r="J136" i="8"/>
  <c r="J123" i="8"/>
  <c r="J167" i="8"/>
  <c r="BB168" i="8"/>
  <c r="J152" i="8"/>
  <c r="BB145" i="8"/>
  <c r="J118" i="8"/>
  <c r="J119" i="8"/>
  <c r="J117" i="8"/>
  <c r="J116" i="8"/>
  <c r="Z241" i="8"/>
  <c r="N92" i="8"/>
  <c r="N91" i="8"/>
  <c r="I431" i="8"/>
  <c r="N89" i="8"/>
  <c r="I91" i="8"/>
  <c r="N87" i="8"/>
  <c r="N93" i="8"/>
  <c r="N94" i="8"/>
  <c r="N90" i="8"/>
  <c r="I90" i="8"/>
  <c r="I89" i="8"/>
  <c r="I88" i="8"/>
  <c r="I95" i="8"/>
  <c r="I87" i="8"/>
  <c r="I94" i="8"/>
  <c r="I93" i="8"/>
  <c r="N88" i="8"/>
  <c r="I92" i="8"/>
  <c r="N95" i="8"/>
  <c r="BB231" i="8"/>
  <c r="BB167" i="8"/>
  <c r="Z230" i="8"/>
  <c r="BB166" i="8"/>
  <c r="AO292" i="8"/>
  <c r="AA305" i="8"/>
  <c r="AA70" i="8"/>
  <c r="BC66" i="8"/>
  <c r="J126" i="8"/>
  <c r="BB165" i="8"/>
  <c r="BB230" i="8"/>
  <c r="K272" i="8"/>
  <c r="Z240" i="8"/>
  <c r="K320" i="8"/>
  <c r="BC67" i="8"/>
  <c r="BD380" i="8"/>
  <c r="J231" i="8"/>
  <c r="AA303" i="8"/>
  <c r="AA273" i="8"/>
  <c r="Z231" i="8"/>
  <c r="Y75" i="8"/>
  <c r="AO288" i="8"/>
  <c r="K67" i="8"/>
  <c r="K70" i="8"/>
  <c r="AO68" i="8"/>
  <c r="AR75" i="8"/>
  <c r="AL108" i="8" s="1"/>
  <c r="J143" i="8"/>
  <c r="BD381" i="8"/>
  <c r="AA275" i="8"/>
  <c r="BC70" i="8"/>
  <c r="AO306" i="8"/>
  <c r="AA68" i="8"/>
  <c r="J163" i="8"/>
  <c r="J107" i="8"/>
  <c r="K305" i="8"/>
  <c r="J145" i="8"/>
  <c r="J144" i="8"/>
  <c r="J146" i="8"/>
  <c r="M144" i="8" s="1"/>
  <c r="J142" i="8"/>
  <c r="J124" i="8"/>
  <c r="J125" i="8"/>
  <c r="J110" i="8"/>
  <c r="K289" i="8"/>
  <c r="K288" i="8"/>
  <c r="K292" i="8"/>
  <c r="K290" i="8"/>
  <c r="K291" i="8"/>
  <c r="AA290" i="8"/>
  <c r="AA291" i="8"/>
  <c r="AA292" i="8"/>
  <c r="BD369" i="8"/>
  <c r="BD370" i="8"/>
  <c r="BD368" i="8"/>
  <c r="BB163" i="8"/>
  <c r="BB164" i="8"/>
  <c r="K306" i="8"/>
  <c r="AO70" i="8"/>
  <c r="AO67" i="8"/>
  <c r="AO66" i="8"/>
  <c r="AA66" i="8"/>
  <c r="J127" i="8"/>
  <c r="BB143" i="8"/>
  <c r="BB142" i="8"/>
  <c r="BB241" i="8"/>
  <c r="BB240" i="8"/>
  <c r="K304" i="8"/>
  <c r="J168" i="8"/>
  <c r="AO291" i="8"/>
  <c r="AO290" i="8"/>
  <c r="AO289" i="8"/>
  <c r="K318" i="8"/>
  <c r="K322" i="8"/>
  <c r="AA67" i="8"/>
  <c r="J230" i="8"/>
  <c r="AA289" i="8"/>
  <c r="AA288" i="8"/>
  <c r="AO304" i="8"/>
  <c r="AO307" i="8"/>
  <c r="AO303" i="8"/>
  <c r="AA318" i="8"/>
  <c r="AA319" i="8"/>
  <c r="AA322" i="8"/>
  <c r="AA321" i="8"/>
  <c r="AA320" i="8"/>
  <c r="BC68" i="8"/>
  <c r="AM75" i="8"/>
  <c r="J128" i="8"/>
  <c r="J164" i="8"/>
  <c r="J165" i="8"/>
  <c r="K307" i="8"/>
  <c r="J111" i="8"/>
  <c r="L109" i="8" s="1"/>
  <c r="BB146" i="8"/>
  <c r="BB144" i="8"/>
  <c r="K277" i="8"/>
  <c r="K303" i="8"/>
  <c r="K68" i="8"/>
  <c r="J108" i="8"/>
  <c r="K321" i="8"/>
  <c r="K319" i="8"/>
  <c r="AA274" i="8"/>
  <c r="J109" i="8"/>
  <c r="AA276" i="8"/>
  <c r="AA304" i="8"/>
  <c r="AA306" i="8"/>
  <c r="AA307" i="8"/>
  <c r="BD379" i="8"/>
  <c r="AD369" i="8" l="1"/>
  <c r="Y273" i="8"/>
  <c r="AD273" i="8" s="1"/>
  <c r="Y318" i="8"/>
  <c r="Y272" i="8"/>
  <c r="AC272" i="8" s="1"/>
  <c r="I291" i="8"/>
  <c r="M291" i="8" s="1"/>
  <c r="I288" i="8"/>
  <c r="M288" i="8" s="1"/>
  <c r="H175" i="8"/>
  <c r="L175" i="8" s="1"/>
  <c r="H116" i="8"/>
  <c r="L116" i="8" s="1"/>
  <c r="H115" i="8"/>
  <c r="L115" i="8" s="1"/>
  <c r="H114" i="8"/>
  <c r="L114" i="8" s="1"/>
  <c r="X108" i="8"/>
  <c r="X125" i="8"/>
  <c r="AL125" i="8"/>
  <c r="AP125" i="8" s="1"/>
  <c r="AB125" i="8"/>
  <c r="AC125" i="8"/>
  <c r="BD116" i="8"/>
  <c r="BE116" i="8"/>
  <c r="AB210" i="8"/>
  <c r="AC210" i="8"/>
  <c r="AE363" i="8"/>
  <c r="BA275" i="8"/>
  <c r="BE275" i="8" s="1"/>
  <c r="K114" i="8"/>
  <c r="H163" i="8"/>
  <c r="L163" i="8" s="1"/>
  <c r="H106" i="8"/>
  <c r="L106" i="8" s="1"/>
  <c r="BD108" i="8"/>
  <c r="BE108" i="8"/>
  <c r="BD125" i="8"/>
  <c r="BE125" i="8"/>
  <c r="BE321" i="8"/>
  <c r="BF321" i="8"/>
  <c r="BE142" i="8"/>
  <c r="BE143" i="8"/>
  <c r="BF143" i="8" s="1"/>
  <c r="BD141" i="8"/>
  <c r="BE141" i="8"/>
  <c r="BD142" i="8"/>
  <c r="BA291" i="8"/>
  <c r="BA306" i="8"/>
  <c r="BA292" i="8"/>
  <c r="BA322" i="8"/>
  <c r="BF322" i="8" s="1"/>
  <c r="BA273" i="8"/>
  <c r="BA304" i="8"/>
  <c r="BA274" i="8"/>
  <c r="BF274" i="8" s="1"/>
  <c r="BA305" i="8"/>
  <c r="BA290" i="8"/>
  <c r="BA276" i="8"/>
  <c r="BA319" i="8"/>
  <c r="BA307" i="8"/>
  <c r="BF307" i="8" s="1"/>
  <c r="BA320" i="8"/>
  <c r="BA289" i="8"/>
  <c r="BA303" i="8"/>
  <c r="BA288" i="8"/>
  <c r="BA272" i="8"/>
  <c r="BA318" i="8"/>
  <c r="BA310" i="8"/>
  <c r="BA325" i="8"/>
  <c r="BA295" i="8"/>
  <c r="BA280" i="8"/>
  <c r="BE274" i="8"/>
  <c r="BB386" i="8"/>
  <c r="BF386" i="8" s="1"/>
  <c r="BB385" i="8"/>
  <c r="BF385" i="8" s="1"/>
  <c r="BB398" i="8"/>
  <c r="BF398" i="8" s="1"/>
  <c r="BB375" i="8"/>
  <c r="BF375" i="8" s="1"/>
  <c r="BB397" i="8"/>
  <c r="BF397" i="8" s="1"/>
  <c r="BB374" i="8"/>
  <c r="BF374" i="8" s="1"/>
  <c r="BB363" i="8"/>
  <c r="BF363" i="8" s="1"/>
  <c r="BB362" i="8"/>
  <c r="BF362" i="8" s="1"/>
  <c r="BB357" i="8"/>
  <c r="BG357" i="8" s="1"/>
  <c r="BB391" i="8"/>
  <c r="BF391" i="8" s="1"/>
  <c r="BB356" i="8"/>
  <c r="BG356" i="8" s="1"/>
  <c r="BB392" i="8"/>
  <c r="BF392" i="8" s="1"/>
  <c r="BG368" i="8"/>
  <c r="BF368" i="8"/>
  <c r="BG355" i="8"/>
  <c r="BF355" i="8"/>
  <c r="AN356" i="8"/>
  <c r="AR356" i="8" s="1"/>
  <c r="AN357" i="8"/>
  <c r="AR357" i="8" s="1"/>
  <c r="AL211" i="8"/>
  <c r="AL210" i="8"/>
  <c r="AZ221" i="8"/>
  <c r="AZ220" i="8"/>
  <c r="AZ211" i="8"/>
  <c r="AZ210" i="8"/>
  <c r="BE165" i="8"/>
  <c r="BE164" i="8"/>
  <c r="BE163" i="8"/>
  <c r="BD165" i="8"/>
  <c r="BD164" i="8"/>
  <c r="BD163" i="8"/>
  <c r="BE177" i="8"/>
  <c r="BE178" i="8"/>
  <c r="BD178" i="8"/>
  <c r="BD177" i="8"/>
  <c r="BD176" i="8"/>
  <c r="BE176" i="8"/>
  <c r="BD166" i="8"/>
  <c r="BE168" i="8"/>
  <c r="BD168" i="8"/>
  <c r="BD167" i="8"/>
  <c r="BE166" i="8"/>
  <c r="BE167" i="8"/>
  <c r="BD144" i="8"/>
  <c r="BE144" i="8"/>
  <c r="BE146" i="8"/>
  <c r="BD146" i="8"/>
  <c r="BE145" i="8"/>
  <c r="BD145" i="8"/>
  <c r="AN381" i="8"/>
  <c r="AR381" i="8" s="1"/>
  <c r="AN392" i="8"/>
  <c r="AR392" i="8" s="1"/>
  <c r="AN380" i="8"/>
  <c r="AR380" i="8" s="1"/>
  <c r="AN391" i="8"/>
  <c r="AR391" i="8" s="1"/>
  <c r="AN369" i="8"/>
  <c r="AR369" i="8" s="1"/>
  <c r="AN370" i="8"/>
  <c r="AR370" i="8" s="1"/>
  <c r="AM325" i="8"/>
  <c r="AM310" i="8"/>
  <c r="AM280" i="8"/>
  <c r="AM295" i="8"/>
  <c r="AM288" i="8"/>
  <c r="AQ288" i="8" s="1"/>
  <c r="AM318" i="8"/>
  <c r="AM272" i="8"/>
  <c r="AM320" i="8"/>
  <c r="AM274" i="8"/>
  <c r="AM290" i="8"/>
  <c r="AQ290" i="8" s="1"/>
  <c r="AM321" i="8"/>
  <c r="AM275" i="8"/>
  <c r="AQ275" i="8" s="1"/>
  <c r="AM319" i="8"/>
  <c r="AM273" i="8"/>
  <c r="AM322" i="8"/>
  <c r="AM276" i="8"/>
  <c r="AL143" i="8"/>
  <c r="AL165" i="8"/>
  <c r="AL220" i="8"/>
  <c r="AL240" i="8"/>
  <c r="AL241" i="8"/>
  <c r="AL231" i="8"/>
  <c r="AL230" i="8"/>
  <c r="AL164" i="8"/>
  <c r="AL141" i="8"/>
  <c r="AL106" i="8"/>
  <c r="AP106" i="8" s="1"/>
  <c r="AO141" i="8"/>
  <c r="AL124" i="8"/>
  <c r="AO163" i="8"/>
  <c r="AO142" i="8"/>
  <c r="AL163" i="8"/>
  <c r="AL142" i="8"/>
  <c r="AO124" i="8"/>
  <c r="AO123" i="8"/>
  <c r="AL123" i="8"/>
  <c r="AO164" i="8"/>
  <c r="AL107" i="8"/>
  <c r="O355" i="8"/>
  <c r="N355" i="8"/>
  <c r="N390" i="8"/>
  <c r="O368" i="8"/>
  <c r="N368" i="8"/>
  <c r="AE390" i="8"/>
  <c r="AD390" i="8"/>
  <c r="AE355" i="8"/>
  <c r="AD355" i="8"/>
  <c r="AE369" i="8"/>
  <c r="AE368" i="8"/>
  <c r="AD368" i="8"/>
  <c r="AD314" i="8"/>
  <c r="AC311" i="8"/>
  <c r="AC314" i="8"/>
  <c r="AD313" i="8"/>
  <c r="AC313" i="8"/>
  <c r="AD299" i="8"/>
  <c r="AD298" i="8"/>
  <c r="AC299" i="8"/>
  <c r="AC298" i="8"/>
  <c r="AC328" i="8"/>
  <c r="AD329" i="8"/>
  <c r="AC326" i="8"/>
  <c r="AD328" i="8"/>
  <c r="AD327" i="8"/>
  <c r="AC329" i="8"/>
  <c r="AD290" i="8"/>
  <c r="AC290" i="8"/>
  <c r="AC234" i="8"/>
  <c r="AC285" i="8"/>
  <c r="AD285" i="8"/>
  <c r="X220" i="8"/>
  <c r="AC327" i="8"/>
  <c r="AC312" i="8"/>
  <c r="Y284" i="8"/>
  <c r="AC284" i="8" s="1"/>
  <c r="AD297" i="8"/>
  <c r="Y283" i="8"/>
  <c r="AC283" i="8" s="1"/>
  <c r="AD326" i="8"/>
  <c r="Y282" i="8"/>
  <c r="AD311" i="8"/>
  <c r="Y281" i="8"/>
  <c r="AC281" i="8" s="1"/>
  <c r="AD296" i="8"/>
  <c r="Z386" i="8"/>
  <c r="AD386" i="8" s="1"/>
  <c r="Z385" i="8"/>
  <c r="Z397" i="8"/>
  <c r="AD397" i="8" s="1"/>
  <c r="Z375" i="8"/>
  <c r="AD375" i="8" s="1"/>
  <c r="Z374" i="8"/>
  <c r="AD374" i="8" s="1"/>
  <c r="Z362" i="8"/>
  <c r="AD362" i="8" s="1"/>
  <c r="Y295" i="8"/>
  <c r="AD295" i="8" s="1"/>
  <c r="Y280" i="8"/>
  <c r="AC280" i="8" s="1"/>
  <c r="Y325" i="8"/>
  <c r="AD325" i="8" s="1"/>
  <c r="Y310" i="8"/>
  <c r="AC310" i="8" s="1"/>
  <c r="X142" i="8"/>
  <c r="AA123" i="8"/>
  <c r="AA164" i="8"/>
  <c r="AA163" i="8"/>
  <c r="AA141" i="8"/>
  <c r="X123" i="8"/>
  <c r="X141" i="8"/>
  <c r="X164" i="8"/>
  <c r="X163" i="8"/>
  <c r="AA124" i="8"/>
  <c r="AA142" i="8"/>
  <c r="X124" i="8"/>
  <c r="X165" i="8"/>
  <c r="X143" i="8"/>
  <c r="BE126" i="8"/>
  <c r="BD126" i="8"/>
  <c r="BE127" i="8"/>
  <c r="BD127" i="8"/>
  <c r="BE128" i="8"/>
  <c r="BD128" i="8"/>
  <c r="X107" i="8"/>
  <c r="AA107" i="8"/>
  <c r="AA106" i="8"/>
  <c r="X106" i="8"/>
  <c r="BE109" i="8"/>
  <c r="BD110" i="8"/>
  <c r="BE110" i="8"/>
  <c r="BE111" i="8"/>
  <c r="BD111" i="8"/>
  <c r="BD109" i="8"/>
  <c r="AB177" i="8"/>
  <c r="AC178" i="8"/>
  <c r="AB178" i="8"/>
  <c r="AC176" i="8"/>
  <c r="AB176" i="8"/>
  <c r="AC177" i="8"/>
  <c r="N272" i="8"/>
  <c r="M272" i="8"/>
  <c r="M175" i="8"/>
  <c r="O390" i="8"/>
  <c r="I303" i="8"/>
  <c r="N303" i="8" s="1"/>
  <c r="O281" i="8"/>
  <c r="AM303" i="8"/>
  <c r="AR303" i="8" s="1"/>
  <c r="H220" i="8"/>
  <c r="H231" i="8"/>
  <c r="M231" i="8" s="1"/>
  <c r="H240" i="8"/>
  <c r="H230" i="8"/>
  <c r="L230" i="8" s="1"/>
  <c r="H211" i="8"/>
  <c r="L156" i="8"/>
  <c r="L155" i="8"/>
  <c r="H221" i="8"/>
  <c r="AL221" i="8"/>
  <c r="X241" i="8"/>
  <c r="X211" i="8"/>
  <c r="X221" i="8"/>
  <c r="K153" i="8"/>
  <c r="K152" i="8"/>
  <c r="H174" i="8"/>
  <c r="M174" i="8" s="1"/>
  <c r="M168" i="8"/>
  <c r="M167" i="8"/>
  <c r="M166" i="8"/>
  <c r="K174" i="8"/>
  <c r="H173" i="8"/>
  <c r="L173" i="8" s="1"/>
  <c r="K173" i="8"/>
  <c r="M155" i="8"/>
  <c r="H134" i="8"/>
  <c r="M134" i="8" s="1"/>
  <c r="L178" i="8"/>
  <c r="L176" i="8"/>
  <c r="M177" i="8"/>
  <c r="L177" i="8"/>
  <c r="M178" i="8"/>
  <c r="M176" i="8"/>
  <c r="H133" i="8"/>
  <c r="M133" i="8" s="1"/>
  <c r="H132" i="8"/>
  <c r="L132" i="8" s="1"/>
  <c r="K133" i="8"/>
  <c r="K132" i="8"/>
  <c r="H141" i="8"/>
  <c r="M141" i="8" s="1"/>
  <c r="M157" i="8"/>
  <c r="M156" i="8"/>
  <c r="L137" i="8"/>
  <c r="L135" i="8"/>
  <c r="M136" i="8"/>
  <c r="L136" i="8"/>
  <c r="M135" i="8"/>
  <c r="M137" i="8"/>
  <c r="AM305" i="8"/>
  <c r="AR305" i="8" s="1"/>
  <c r="H154" i="8"/>
  <c r="M154" i="8" s="1"/>
  <c r="M119" i="8"/>
  <c r="M117" i="8"/>
  <c r="M118" i="8"/>
  <c r="M109" i="8"/>
  <c r="M111" i="8"/>
  <c r="L126" i="8"/>
  <c r="M126" i="8"/>
  <c r="H152" i="8"/>
  <c r="L152" i="8" s="1"/>
  <c r="H153" i="8"/>
  <c r="M153" i="8" s="1"/>
  <c r="L110" i="8"/>
  <c r="L111" i="8"/>
  <c r="L118" i="8"/>
  <c r="L117" i="8"/>
  <c r="L119" i="8"/>
  <c r="L144" i="8"/>
  <c r="N144" i="8" s="1"/>
  <c r="K106" i="8"/>
  <c r="K115" i="8"/>
  <c r="K163" i="8"/>
  <c r="Y274" i="8"/>
  <c r="AD274" i="8" s="1"/>
  <c r="K141" i="8"/>
  <c r="Y288" i="8"/>
  <c r="AC288" i="8" s="1"/>
  <c r="BC164" i="8"/>
  <c r="BC142" i="8"/>
  <c r="AD318" i="8"/>
  <c r="X231" i="8"/>
  <c r="AM292" i="8"/>
  <c r="AQ292" i="8" s="1"/>
  <c r="BC141" i="8"/>
  <c r="AM307" i="8"/>
  <c r="AQ307" i="8" s="1"/>
  <c r="X230" i="8"/>
  <c r="AC230" i="8" s="1"/>
  <c r="Y291" i="8"/>
  <c r="AD291" i="8" s="1"/>
  <c r="Y292" i="8"/>
  <c r="AC292" i="8" s="1"/>
  <c r="Y320" i="8"/>
  <c r="AC320" i="8" s="1"/>
  <c r="Y303" i="8"/>
  <c r="AD303" i="8" s="1"/>
  <c r="Y305" i="8"/>
  <c r="AC305" i="8" s="1"/>
  <c r="Y322" i="8"/>
  <c r="AD322" i="8" s="1"/>
  <c r="Y276" i="8"/>
  <c r="AC276" i="8" s="1"/>
  <c r="BC163" i="8"/>
  <c r="X240" i="8"/>
  <c r="AC240" i="8" s="1"/>
  <c r="Y304" i="8"/>
  <c r="AC304" i="8" s="1"/>
  <c r="AM304" i="8"/>
  <c r="AR304" i="8" s="1"/>
  <c r="AM306" i="8"/>
  <c r="AR306" i="8" s="1"/>
  <c r="H241" i="8"/>
  <c r="Y289" i="8"/>
  <c r="AC289" i="8" s="1"/>
  <c r="AM289" i="8"/>
  <c r="AQ289" i="8" s="1"/>
  <c r="Y306" i="8"/>
  <c r="AC306" i="8" s="1"/>
  <c r="Y319" i="8"/>
  <c r="AC319" i="8" s="1"/>
  <c r="Y307" i="8"/>
  <c r="AC307" i="8" s="1"/>
  <c r="Y321" i="8"/>
  <c r="AD321" i="8" s="1"/>
  <c r="Y275" i="8"/>
  <c r="AC275" i="8" s="1"/>
  <c r="H142" i="8"/>
  <c r="M142" i="8" s="1"/>
  <c r="AM291" i="8"/>
  <c r="AQ291" i="8" s="1"/>
  <c r="H123" i="8"/>
  <c r="M123" i="8" s="1"/>
  <c r="K124" i="8"/>
  <c r="H107" i="8"/>
  <c r="M107" i="8" s="1"/>
  <c r="H164" i="8"/>
  <c r="L164" i="8" s="1"/>
  <c r="K164" i="8"/>
  <c r="I318" i="8"/>
  <c r="N318" i="8" s="1"/>
  <c r="H124" i="8"/>
  <c r="M124" i="8" s="1"/>
  <c r="K123" i="8"/>
  <c r="K142" i="8"/>
  <c r="K107" i="8"/>
  <c r="AZ230" i="8"/>
  <c r="BE230" i="8" s="1"/>
  <c r="AZ231" i="8"/>
  <c r="BE231" i="8" s="1"/>
  <c r="AZ241" i="8"/>
  <c r="BD241" i="8" s="1"/>
  <c r="AZ240" i="8"/>
  <c r="BD240" i="8" s="1"/>
  <c r="L146" i="8"/>
  <c r="L145" i="8"/>
  <c r="M146" i="8"/>
  <c r="M145" i="8"/>
  <c r="H125" i="8"/>
  <c r="M125" i="8" s="1"/>
  <c r="H165" i="8"/>
  <c r="M165" i="8" s="1"/>
  <c r="H143" i="8"/>
  <c r="L143" i="8" s="1"/>
  <c r="L108" i="8"/>
  <c r="L127" i="8"/>
  <c r="L128" i="8"/>
  <c r="M127" i="8"/>
  <c r="M128" i="8"/>
  <c r="Z392" i="8"/>
  <c r="AD392" i="8" s="1"/>
  <c r="Z370" i="8"/>
  <c r="AD370" i="8" s="1"/>
  <c r="Z380" i="8"/>
  <c r="AD380" i="8" s="1"/>
  <c r="Z356" i="8"/>
  <c r="AD356" i="8" s="1"/>
  <c r="Z391" i="8"/>
  <c r="AD391" i="8" s="1"/>
  <c r="Z381" i="8"/>
  <c r="AD381" i="8" s="1"/>
  <c r="Z357" i="8"/>
  <c r="AE357" i="8" s="1"/>
  <c r="I320" i="8"/>
  <c r="N320" i="8" s="1"/>
  <c r="I319" i="8"/>
  <c r="M319" i="8" s="1"/>
  <c r="I292" i="8"/>
  <c r="M292" i="8" s="1"/>
  <c r="I306" i="8"/>
  <c r="M306" i="8" s="1"/>
  <c r="I274" i="8"/>
  <c r="M274" i="8" s="1"/>
  <c r="I322" i="8"/>
  <c r="N322" i="8" s="1"/>
  <c r="I305" i="8"/>
  <c r="M305" i="8" s="1"/>
  <c r="I321" i="8"/>
  <c r="N321" i="8" s="1"/>
  <c r="I290" i="8"/>
  <c r="N290" i="8" s="1"/>
  <c r="I289" i="8"/>
  <c r="N289" i="8" s="1"/>
  <c r="I275" i="8"/>
  <c r="M275" i="8" s="1"/>
  <c r="M273" i="8"/>
  <c r="I307" i="8"/>
  <c r="M307" i="8" s="1"/>
  <c r="I276" i="8"/>
  <c r="N276" i="8" s="1"/>
  <c r="I304" i="8"/>
  <c r="M304" i="8" s="1"/>
  <c r="M110" i="8"/>
  <c r="L168" i="8"/>
  <c r="L166" i="8"/>
  <c r="L167" i="8"/>
  <c r="BB369" i="8"/>
  <c r="BF369" i="8" s="1"/>
  <c r="BB381" i="8"/>
  <c r="BF381" i="8" s="1"/>
  <c r="BB370" i="8"/>
  <c r="BG370" i="8" s="1"/>
  <c r="BB380" i="8"/>
  <c r="BG380" i="8" s="1"/>
  <c r="N288" i="8" l="1"/>
  <c r="BF356" i="8"/>
  <c r="BF380" i="8"/>
  <c r="AD357" i="8"/>
  <c r="AF357" i="8" s="1"/>
  <c r="BF370" i="8"/>
  <c r="BH370" i="8" s="1"/>
  <c r="BF357" i="8"/>
  <c r="BH357" i="8" s="1"/>
  <c r="AE385" i="8"/>
  <c r="AD385" i="8"/>
  <c r="AD272" i="8"/>
  <c r="AE272" i="8" s="1"/>
  <c r="M303" i="8"/>
  <c r="O303" i="8" s="1"/>
  <c r="N291" i="8"/>
  <c r="O291" i="8" s="1"/>
  <c r="M322" i="8"/>
  <c r="O322" i="8" s="1"/>
  <c r="N307" i="8"/>
  <c r="O307" i="8" s="1"/>
  <c r="M114" i="8"/>
  <c r="N114" i="8" s="1"/>
  <c r="AD284" i="8"/>
  <c r="AE284" i="8" s="1"/>
  <c r="AC318" i="8"/>
  <c r="AE318" i="8" s="1"/>
  <c r="AC303" i="8"/>
  <c r="AE303" i="8" s="1"/>
  <c r="M318" i="8"/>
  <c r="O318" i="8" s="1"/>
  <c r="M106" i="8"/>
  <c r="N106" i="8" s="1"/>
  <c r="M116" i="8"/>
  <c r="N116" i="8" s="1"/>
  <c r="AC124" i="8"/>
  <c r="AB124" i="8"/>
  <c r="AC123" i="8"/>
  <c r="AB123" i="8"/>
  <c r="AP116" i="8"/>
  <c r="AQ116" i="8"/>
  <c r="AC116" i="8"/>
  <c r="AB116" i="8"/>
  <c r="AD125" i="8"/>
  <c r="BF116" i="8"/>
  <c r="AB240" i="8"/>
  <c r="AD240" i="8" s="1"/>
  <c r="AB230" i="8"/>
  <c r="AD230" i="8" s="1"/>
  <c r="BE240" i="8"/>
  <c r="BF240" i="8" s="1"/>
  <c r="BE210" i="8"/>
  <c r="BD210" i="8"/>
  <c r="BD230" i="8"/>
  <c r="BF230" i="8" s="1"/>
  <c r="BE220" i="8"/>
  <c r="BD220" i="8"/>
  <c r="AP210" i="8"/>
  <c r="AQ210" i="8"/>
  <c r="AP163" i="8"/>
  <c r="AQ163" i="8"/>
  <c r="AQ240" i="8"/>
  <c r="AP240" i="8"/>
  <c r="AP123" i="8"/>
  <c r="AQ123" i="8"/>
  <c r="AP220" i="8"/>
  <c r="AQ220" i="8"/>
  <c r="AQ141" i="8"/>
  <c r="AP141" i="8"/>
  <c r="AQ230" i="8"/>
  <c r="AP230" i="8"/>
  <c r="AQ106" i="8"/>
  <c r="AC163" i="8"/>
  <c r="AB163" i="8"/>
  <c r="AC141" i="8"/>
  <c r="AB141" i="8"/>
  <c r="AC106" i="8"/>
  <c r="AB106" i="8"/>
  <c r="AB220" i="8"/>
  <c r="AC220" i="8"/>
  <c r="AD210" i="8"/>
  <c r="M163" i="8"/>
  <c r="N163" i="8" s="1"/>
  <c r="M230" i="8"/>
  <c r="N230" i="8" s="1"/>
  <c r="L123" i="8"/>
  <c r="N123" i="8" s="1"/>
  <c r="L141" i="8"/>
  <c r="N141" i="8" s="1"/>
  <c r="BG375" i="8"/>
  <c r="BG398" i="8"/>
  <c r="BG386" i="8"/>
  <c r="BG363" i="8"/>
  <c r="AE386" i="8"/>
  <c r="AF363" i="8"/>
  <c r="AE375" i="8"/>
  <c r="BG369" i="8"/>
  <c r="BH369" i="8" s="1"/>
  <c r="BH356" i="8"/>
  <c r="BH380" i="8"/>
  <c r="BG391" i="8"/>
  <c r="AS380" i="8"/>
  <c r="AR280" i="8"/>
  <c r="AQ280" i="8"/>
  <c r="AQ310" i="8"/>
  <c r="AR310" i="8"/>
  <c r="AR325" i="8"/>
  <c r="AQ325" i="8"/>
  <c r="AS391" i="8"/>
  <c r="AR295" i="8"/>
  <c r="AQ295" i="8"/>
  <c r="AS369" i="8"/>
  <c r="AS356" i="8"/>
  <c r="AC325" i="8"/>
  <c r="AE325" i="8" s="1"/>
  <c r="AD280" i="8"/>
  <c r="AE280" i="8" s="1"/>
  <c r="AC295" i="8"/>
  <c r="AE295" i="8" s="1"/>
  <c r="AD310" i="8"/>
  <c r="AE310" i="8" s="1"/>
  <c r="AE380" i="8"/>
  <c r="AF380" i="8" s="1"/>
  <c r="BE280" i="8"/>
  <c r="BF280" i="8"/>
  <c r="BE295" i="8"/>
  <c r="BF295" i="8"/>
  <c r="BF325" i="8"/>
  <c r="BE325" i="8"/>
  <c r="BF310" i="8"/>
  <c r="BE310" i="8"/>
  <c r="AQ303" i="8"/>
  <c r="AS303" i="8" s="1"/>
  <c r="AR288" i="8"/>
  <c r="AS288" i="8" s="1"/>
  <c r="AR272" i="8"/>
  <c r="AQ272" i="8"/>
  <c r="AQ318" i="8"/>
  <c r="AR318" i="8"/>
  <c r="AD288" i="8"/>
  <c r="AE288" i="8" s="1"/>
  <c r="AD281" i="8"/>
  <c r="AE281" i="8" s="1"/>
  <c r="AR289" i="8"/>
  <c r="AS289" i="8" s="1"/>
  <c r="AQ304" i="8"/>
  <c r="AS304" i="8" s="1"/>
  <c r="AR319" i="8"/>
  <c r="AQ319" i="8"/>
  <c r="AR273" i="8"/>
  <c r="AQ273" i="8"/>
  <c r="AD289" i="8"/>
  <c r="AE289" i="8" s="1"/>
  <c r="N273" i="8"/>
  <c r="O273" i="8" s="1"/>
  <c r="AD305" i="8"/>
  <c r="AE305" i="8" s="1"/>
  <c r="BF320" i="8"/>
  <c r="BE320" i="8"/>
  <c r="BF290" i="8"/>
  <c r="BE290" i="8"/>
  <c r="BE305" i="8"/>
  <c r="BF305" i="8"/>
  <c r="AQ305" i="8"/>
  <c r="AS305" i="8" s="1"/>
  <c r="AR274" i="8"/>
  <c r="AQ274" i="8"/>
  <c r="AR290" i="8"/>
  <c r="AS290" i="8" s="1"/>
  <c r="AR320" i="8"/>
  <c r="AQ320" i="8"/>
  <c r="AD320" i="8"/>
  <c r="AE320" i="8" s="1"/>
  <c r="BF275" i="8"/>
  <c r="BG275" i="8" s="1"/>
  <c r="BF276" i="8"/>
  <c r="BE276" i="8"/>
  <c r="BE322" i="8"/>
  <c r="BG322" i="8" s="1"/>
  <c r="BE307" i="8"/>
  <c r="BG307" i="8" s="1"/>
  <c r="BF292" i="8"/>
  <c r="BE292" i="8"/>
  <c r="AR292" i="8"/>
  <c r="AS292" i="8" s="1"/>
  <c r="AD292" i="8"/>
  <c r="AE292" i="8" s="1"/>
  <c r="AC322" i="8"/>
  <c r="AE322" i="8" s="1"/>
  <c r="M276" i="8"/>
  <c r="O276" i="8" s="1"/>
  <c r="N292" i="8"/>
  <c r="O292" i="8" s="1"/>
  <c r="BF125" i="8"/>
  <c r="M108" i="8"/>
  <c r="N108" i="8" s="1"/>
  <c r="L165" i="8"/>
  <c r="N165" i="8" s="1"/>
  <c r="BF108" i="8"/>
  <c r="AP143" i="8"/>
  <c r="AQ143" i="8"/>
  <c r="AQ165" i="8"/>
  <c r="AP165" i="8"/>
  <c r="AQ125" i="8"/>
  <c r="AP108" i="8"/>
  <c r="AQ108" i="8"/>
  <c r="AB165" i="8"/>
  <c r="AC165" i="8"/>
  <c r="AC108" i="8"/>
  <c r="AB108" i="8"/>
  <c r="AB143" i="8"/>
  <c r="AC143" i="8"/>
  <c r="L125" i="8"/>
  <c r="N125" i="8" s="1"/>
  <c r="M143" i="8"/>
  <c r="N143" i="8" s="1"/>
  <c r="BE306" i="8"/>
  <c r="BF306" i="8"/>
  <c r="BG321" i="8"/>
  <c r="BF291" i="8"/>
  <c r="BE291" i="8"/>
  <c r="BE303" i="8"/>
  <c r="BF303" i="8"/>
  <c r="BF318" i="8"/>
  <c r="BE318" i="8"/>
  <c r="BF141" i="8"/>
  <c r="BE272" i="8"/>
  <c r="BF272" i="8"/>
  <c r="BE288" i="8"/>
  <c r="BF288" i="8"/>
  <c r="BF142" i="8"/>
  <c r="BE289" i="8"/>
  <c r="BF289" i="8"/>
  <c r="BF304" i="8"/>
  <c r="BE304" i="8"/>
  <c r="BF273" i="8"/>
  <c r="BE273" i="8"/>
  <c r="BF319" i="8"/>
  <c r="BE319" i="8"/>
  <c r="BE241" i="8"/>
  <c r="BF241" i="8" s="1"/>
  <c r="BF178" i="8"/>
  <c r="AR276" i="8"/>
  <c r="AQ276" i="8"/>
  <c r="AR307" i="8"/>
  <c r="AS307" i="8" s="1"/>
  <c r="AQ322" i="8"/>
  <c r="AR322" i="8"/>
  <c r="AD276" i="8"/>
  <c r="AE276" i="8" s="1"/>
  <c r="AD307" i="8"/>
  <c r="AE307" i="8" s="1"/>
  <c r="BG392" i="8"/>
  <c r="BG381" i="8"/>
  <c r="BH381" i="8" s="1"/>
  <c r="BG274" i="8"/>
  <c r="AS357" i="8"/>
  <c r="BG397" i="8"/>
  <c r="BG362" i="8"/>
  <c r="BG385" i="8"/>
  <c r="BG374" i="8"/>
  <c r="BH355" i="8"/>
  <c r="BH368" i="8"/>
  <c r="AR291" i="8"/>
  <c r="AS291" i="8" s="1"/>
  <c r="N306" i="8"/>
  <c r="O306" i="8" s="1"/>
  <c r="M115" i="8"/>
  <c r="N115" i="8" s="1"/>
  <c r="N275" i="8"/>
  <c r="O275" i="8" s="1"/>
  <c r="AP221" i="8"/>
  <c r="AQ221" i="8"/>
  <c r="AS392" i="8"/>
  <c r="BF146" i="8"/>
  <c r="BE211" i="8"/>
  <c r="BD211" i="8"/>
  <c r="BD231" i="8"/>
  <c r="BF231" i="8" s="1"/>
  <c r="BE221" i="8"/>
  <c r="BD221" i="8"/>
  <c r="BF176" i="8"/>
  <c r="BF177" i="8"/>
  <c r="BF163" i="8"/>
  <c r="BF164" i="8"/>
  <c r="BF165" i="8"/>
  <c r="BF166" i="8"/>
  <c r="BF145" i="8"/>
  <c r="BF168" i="8"/>
  <c r="BF167" i="8"/>
  <c r="BF144" i="8"/>
  <c r="AP211" i="8"/>
  <c r="AQ211" i="8"/>
  <c r="AQ124" i="8"/>
  <c r="AP124" i="8"/>
  <c r="AQ241" i="8"/>
  <c r="AP241" i="8"/>
  <c r="AQ142" i="8"/>
  <c r="AP142" i="8"/>
  <c r="AQ107" i="8"/>
  <c r="AP107" i="8"/>
  <c r="AQ231" i="8"/>
  <c r="AP231" i="8"/>
  <c r="AC291" i="8"/>
  <c r="AE291" i="8" s="1"/>
  <c r="AQ164" i="8"/>
  <c r="AP164" i="8"/>
  <c r="AQ306" i="8"/>
  <c r="AS306" i="8" s="1"/>
  <c r="AR275" i="8"/>
  <c r="AS275" i="8" s="1"/>
  <c r="AR321" i="8"/>
  <c r="AQ321" i="8"/>
  <c r="AS381" i="8"/>
  <c r="AS370" i="8"/>
  <c r="BF128" i="8"/>
  <c r="AE381" i="8"/>
  <c r="AQ225" i="8"/>
  <c r="AQ234" i="8"/>
  <c r="AP234" i="8"/>
  <c r="AQ244" i="8"/>
  <c r="AP244" i="8"/>
  <c r="AD306" i="8"/>
  <c r="AE306" i="8" s="1"/>
  <c r="M321" i="8"/>
  <c r="O321" i="8" s="1"/>
  <c r="AC214" i="8"/>
  <c r="AC225" i="8"/>
  <c r="AB225" i="8"/>
  <c r="AE370" i="8"/>
  <c r="AF370" i="8" s="1"/>
  <c r="AE392" i="8"/>
  <c r="AF392" i="8" s="1"/>
  <c r="AE391" i="8"/>
  <c r="AF391" i="8" s="1"/>
  <c r="AF369" i="8"/>
  <c r="AE362" i="8"/>
  <c r="AF368" i="8"/>
  <c r="AE374" i="8"/>
  <c r="AE397" i="8"/>
  <c r="AE356" i="8"/>
  <c r="AE313" i="8"/>
  <c r="AD282" i="8"/>
  <c r="AC282" i="8"/>
  <c r="N274" i="8"/>
  <c r="O274" i="8" s="1"/>
  <c r="AC321" i="8"/>
  <c r="AE321" i="8" s="1"/>
  <c r="AD283" i="8"/>
  <c r="AE283" i="8" s="1"/>
  <c r="AD275" i="8"/>
  <c r="AE275" i="8" s="1"/>
  <c r="AE298" i="8"/>
  <c r="AD234" i="8"/>
  <c r="AC273" i="8"/>
  <c r="AE273" i="8" s="1"/>
  <c r="AD304" i="8"/>
  <c r="AE304" i="8" s="1"/>
  <c r="AC296" i="8"/>
  <c r="AE296" i="8" s="1"/>
  <c r="AD319" i="8"/>
  <c r="AE319" i="8" s="1"/>
  <c r="AE328" i="8"/>
  <c r="AC274" i="8"/>
  <c r="AE274" i="8" s="1"/>
  <c r="AD312" i="8"/>
  <c r="AE312" i="8" s="1"/>
  <c r="AE329" i="8"/>
  <c r="AE311" i="8"/>
  <c r="AE297" i="8"/>
  <c r="AE299" i="8"/>
  <c r="AE290" i="8"/>
  <c r="AE326" i="8"/>
  <c r="AE285" i="8"/>
  <c r="AE327" i="8"/>
  <c r="AD176" i="8"/>
  <c r="AE314" i="8"/>
  <c r="M220" i="8"/>
  <c r="L220" i="8"/>
  <c r="L210" i="8"/>
  <c r="M210" i="8"/>
  <c r="M240" i="8"/>
  <c r="L240" i="8"/>
  <c r="L153" i="8"/>
  <c r="N153" i="8" s="1"/>
  <c r="AB226" i="8"/>
  <c r="AC226" i="8"/>
  <c r="AC235" i="8"/>
  <c r="AC241" i="8"/>
  <c r="AB241" i="8"/>
  <c r="AB215" i="8"/>
  <c r="AC215" i="8"/>
  <c r="AC231" i="8"/>
  <c r="AB231" i="8"/>
  <c r="AC221" i="8"/>
  <c r="AB221" i="8"/>
  <c r="L124" i="8"/>
  <c r="N124" i="8" s="1"/>
  <c r="M289" i="8"/>
  <c r="O289" i="8" s="1"/>
  <c r="N319" i="8"/>
  <c r="O319" i="8" s="1"/>
  <c r="N304" i="8"/>
  <c r="O304" i="8" s="1"/>
  <c r="AF355" i="8"/>
  <c r="AC211" i="8"/>
  <c r="AB211" i="8"/>
  <c r="AB142" i="8"/>
  <c r="AC142" i="8"/>
  <c r="AC107" i="8"/>
  <c r="AB107" i="8"/>
  <c r="AC164" i="8"/>
  <c r="AB164" i="8"/>
  <c r="L107" i="8"/>
  <c r="N107" i="8" s="1"/>
  <c r="BF127" i="8"/>
  <c r="BF126" i="8"/>
  <c r="BL397" i="8"/>
  <c r="AD178" i="8"/>
  <c r="BF109" i="8"/>
  <c r="BF111" i="8"/>
  <c r="BF110" i="8"/>
  <c r="AD177" i="8"/>
  <c r="BL386" i="8"/>
  <c r="M152" i="8"/>
  <c r="N152" i="8" s="1"/>
  <c r="M132" i="8"/>
  <c r="N132" i="8" s="1"/>
  <c r="M164" i="8"/>
  <c r="N164" i="8" s="1"/>
  <c r="AF390" i="8"/>
  <c r="BL390" i="8"/>
  <c r="L154" i="8"/>
  <c r="N154" i="8" s="1"/>
  <c r="L142" i="8"/>
  <c r="N142" i="8" s="1"/>
  <c r="BL398" i="8"/>
  <c r="L231" i="8"/>
  <c r="N231" i="8" s="1"/>
  <c r="L134" i="8"/>
  <c r="N134" i="8" s="1"/>
  <c r="BL362" i="8"/>
  <c r="L133" i="8"/>
  <c r="N133" i="8" s="1"/>
  <c r="L174" i="8"/>
  <c r="N174" i="8" s="1"/>
  <c r="N118" i="8"/>
  <c r="L211" i="8"/>
  <c r="M211" i="8"/>
  <c r="N175" i="8"/>
  <c r="N117" i="8"/>
  <c r="M173" i="8"/>
  <c r="N173" i="8" s="1"/>
  <c r="M221" i="8"/>
  <c r="L221" i="8"/>
  <c r="M241" i="8"/>
  <c r="L241" i="8"/>
  <c r="P390" i="8"/>
  <c r="BL396" i="8"/>
  <c r="BL373" i="8"/>
  <c r="BL375" i="8"/>
  <c r="BL385" i="8"/>
  <c r="BL374" i="8"/>
  <c r="BL370" i="8"/>
  <c r="P355" i="8"/>
  <c r="BL361" i="8"/>
  <c r="BL363" i="8"/>
  <c r="M320" i="8"/>
  <c r="O320" i="8" s="1"/>
  <c r="N305" i="8"/>
  <c r="O305" i="8" s="1"/>
  <c r="O288" i="8"/>
  <c r="M290" i="8"/>
  <c r="O290" i="8" s="1"/>
  <c r="O272" i="8"/>
  <c r="N156" i="8"/>
  <c r="N155" i="8"/>
  <c r="N178" i="8"/>
  <c r="N136" i="8"/>
  <c r="N176" i="8"/>
  <c r="N177" i="8"/>
  <c r="N157" i="8"/>
  <c r="N119" i="8"/>
  <c r="N135" i="8"/>
  <c r="N137" i="8"/>
  <c r="N146" i="8"/>
  <c r="BL391" i="8"/>
  <c r="BL368" i="8"/>
  <c r="BL369" i="8"/>
  <c r="BL392" i="8"/>
  <c r="N167" i="8"/>
  <c r="BL381" i="8"/>
  <c r="N126" i="8"/>
  <c r="BL380" i="8"/>
  <c r="N145" i="8"/>
  <c r="N128" i="8"/>
  <c r="N127" i="8"/>
  <c r="BL356" i="8"/>
  <c r="N166" i="8"/>
  <c r="N111" i="8"/>
  <c r="N109" i="8"/>
  <c r="N168" i="8"/>
  <c r="N110" i="8"/>
  <c r="P368" i="8"/>
  <c r="BL355" i="8"/>
  <c r="BL357" i="8"/>
  <c r="J16" i="8" l="1" a="1"/>
  <c r="J16" i="8" s="1"/>
  <c r="J25" i="8" a="1"/>
  <c r="J25" i="8" s="1"/>
  <c r="J22" i="8" a="1"/>
  <c r="J22" i="8" s="1"/>
  <c r="J19" i="8" a="1"/>
  <c r="J19" i="8" s="1"/>
  <c r="AD123" i="8"/>
  <c r="AD124" i="8"/>
  <c r="BF210" i="8"/>
  <c r="AR230" i="8"/>
  <c r="AR240" i="8"/>
  <c r="AD116" i="8"/>
  <c r="AR210" i="8"/>
  <c r="AR116" i="8"/>
  <c r="L16" i="8" s="1" a="1"/>
  <c r="L16" i="8" s="1"/>
  <c r="AD141" i="8"/>
  <c r="AD106" i="8"/>
  <c r="BF220" i="8"/>
  <c r="AD163" i="8"/>
  <c r="AR141" i="8"/>
  <c r="AS325" i="8"/>
  <c r="L25" i="8" s="1" a="1"/>
  <c r="L25" i="8" s="1"/>
  <c r="AF386" i="8"/>
  <c r="BH375" i="8"/>
  <c r="BH391" i="8"/>
  <c r="AR106" i="8"/>
  <c r="AR123" i="8"/>
  <c r="AR163" i="8"/>
  <c r="AR220" i="8"/>
  <c r="AD220" i="8"/>
  <c r="BH386" i="8"/>
  <c r="AF375" i="8"/>
  <c r="BH363" i="8"/>
  <c r="BH398" i="8"/>
  <c r="BG290" i="8"/>
  <c r="BG325" i="8"/>
  <c r="AS319" i="8"/>
  <c r="AT380" i="8"/>
  <c r="AS320" i="8"/>
  <c r="AT369" i="8"/>
  <c r="AS295" i="8"/>
  <c r="L22" i="8" s="1" a="1"/>
  <c r="L22" i="8" s="1"/>
  <c r="AS280" i="8"/>
  <c r="L19" i="8" s="1" a="1"/>
  <c r="L19" i="8" s="1"/>
  <c r="BG310" i="8"/>
  <c r="AT356" i="8"/>
  <c r="AS310" i="8"/>
  <c r="AS272" i="8"/>
  <c r="AT391" i="8"/>
  <c r="BG295" i="8"/>
  <c r="BG280" i="8"/>
  <c r="AS318" i="8"/>
  <c r="AS273" i="8"/>
  <c r="AS274" i="8"/>
  <c r="BG305" i="8"/>
  <c r="BG320" i="8"/>
  <c r="BG318" i="8"/>
  <c r="BG276" i="8"/>
  <c r="AR165" i="8"/>
  <c r="BG292" i="8"/>
  <c r="BG273" i="8"/>
  <c r="M18" i="8" s="1" a="1"/>
  <c r="M18" i="8" s="1"/>
  <c r="BG304" i="8"/>
  <c r="M15" i="8" s="1" a="1"/>
  <c r="M15" i="8" s="1"/>
  <c r="AD108" i="8"/>
  <c r="BG291" i="8"/>
  <c r="AR108" i="8"/>
  <c r="AR125" i="8"/>
  <c r="AR143" i="8"/>
  <c r="AD143" i="8"/>
  <c r="AD165" i="8"/>
  <c r="AS276" i="8"/>
  <c r="BG306" i="8"/>
  <c r="BG288" i="8"/>
  <c r="BG272" i="8"/>
  <c r="BG319" i="8"/>
  <c r="BG303" i="8"/>
  <c r="BG289" i="8"/>
  <c r="M21" i="8" s="1" a="1"/>
  <c r="M21" i="8" s="1"/>
  <c r="BH385" i="8"/>
  <c r="AS322" i="8"/>
  <c r="BF221" i="8"/>
  <c r="BH392" i="8"/>
  <c r="AR221" i="8"/>
  <c r="BH362" i="8"/>
  <c r="BH397" i="8"/>
  <c r="BH374" i="8"/>
  <c r="AT357" i="8"/>
  <c r="BF211" i="8"/>
  <c r="AR241" i="8"/>
  <c r="AT392" i="8"/>
  <c r="AR234" i="8"/>
  <c r="AR107" i="8"/>
  <c r="AR142" i="8"/>
  <c r="AR164" i="8"/>
  <c r="AS321" i="8"/>
  <c r="AR231" i="8"/>
  <c r="AR124" i="8"/>
  <c r="AR211" i="8"/>
  <c r="AT370" i="8"/>
  <c r="AT381" i="8"/>
  <c r="AR244" i="8"/>
  <c r="AF381" i="8"/>
  <c r="AR225" i="8"/>
  <c r="AD225" i="8"/>
  <c r="AD214" i="8"/>
  <c r="AF374" i="8"/>
  <c r="AF385" i="8"/>
  <c r="AF397" i="8"/>
  <c r="K25" i="8" s="1" a="1"/>
  <c r="K25" i="8" s="1"/>
  <c r="AF356" i="8"/>
  <c r="AF362" i="8"/>
  <c r="AE282" i="8"/>
  <c r="AD231" i="8"/>
  <c r="AD235" i="8"/>
  <c r="N220" i="8"/>
  <c r="AD241" i="8"/>
  <c r="AD221" i="8"/>
  <c r="N240" i="8"/>
  <c r="N210" i="8"/>
  <c r="AD107" i="8"/>
  <c r="AD215" i="8"/>
  <c r="AD226" i="8"/>
  <c r="AD142" i="8"/>
  <c r="AD164" i="8"/>
  <c r="AD211" i="8"/>
  <c r="N211" i="8"/>
  <c r="N221" i="8"/>
  <c r="N241" i="8"/>
  <c r="K24" i="8" l="1" a="1"/>
  <c r="K24" i="8" s="1"/>
  <c r="K21" i="8" a="1"/>
  <c r="K21" i="8" s="1"/>
  <c r="K15" i="8" a="1"/>
  <c r="K15" i="8" s="1"/>
  <c r="K18" i="8" a="1"/>
  <c r="K18" i="8" s="1"/>
  <c r="K19" i="8" a="1"/>
  <c r="K19" i="8" s="1"/>
  <c r="M19" i="8" a="1"/>
  <c r="M19" i="8" s="1"/>
  <c r="M20" i="8" s="1"/>
  <c r="K26" i="8"/>
  <c r="M25" i="8" a="1"/>
  <c r="M25" i="8" s="1"/>
  <c r="L18" i="8" a="1"/>
  <c r="L18" i="8" s="1"/>
  <c r="L20" i="8" s="1"/>
  <c r="L21" i="8" a="1"/>
  <c r="L21" i="8" s="1"/>
  <c r="L23" i="8" s="1"/>
  <c r="L24" i="8" a="1"/>
  <c r="L24" i="8" s="1"/>
  <c r="L26" i="8" s="1"/>
  <c r="M22" i="8" a="1"/>
  <c r="M22" i="8" s="1"/>
  <c r="M23" i="8" s="1"/>
  <c r="M16" i="8" a="1"/>
  <c r="M16" i="8" s="1"/>
  <c r="M17" i="8" s="1"/>
  <c r="M24" i="8" a="1"/>
  <c r="M24" i="8" s="1"/>
  <c r="L15" i="8" a="1"/>
  <c r="L15" i="8" s="1"/>
  <c r="L17" i="8" s="1"/>
  <c r="K16" i="8" a="1"/>
  <c r="K16" i="8" s="1"/>
  <c r="K22" i="8" a="1"/>
  <c r="K22" i="8" s="1"/>
  <c r="J356" i="8"/>
  <c r="N356" i="8" s="1"/>
  <c r="K23" i="8" l="1"/>
  <c r="K20" i="8"/>
  <c r="K17" i="8"/>
  <c r="M26" i="8"/>
  <c r="P25" i="8"/>
  <c r="P19" i="8"/>
  <c r="P22" i="8"/>
  <c r="P16" i="8"/>
  <c r="J391" i="8"/>
  <c r="N391" i="8" s="1"/>
  <c r="J380" i="8"/>
  <c r="N380" i="8" s="1"/>
  <c r="J369" i="8"/>
  <c r="N369" i="8" s="1"/>
  <c r="J392" i="8"/>
  <c r="N392" i="8" s="1"/>
  <c r="J357" i="8"/>
  <c r="N357" i="8" s="1"/>
  <c r="J370" i="8"/>
  <c r="N370" i="8" s="1"/>
  <c r="J381" i="8"/>
  <c r="N381" i="8" s="1"/>
  <c r="O357" i="8" l="1"/>
  <c r="O392" i="8"/>
  <c r="O381" i="8"/>
  <c r="O370" i="8"/>
  <c r="O369" i="8"/>
  <c r="O380" i="8"/>
  <c r="O391" i="8"/>
  <c r="O356" i="8"/>
  <c r="P356" i="8" s="1"/>
  <c r="N23" i="2"/>
  <c r="Z48" i="2"/>
  <c r="P381" i="8" l="1"/>
  <c r="P380" i="8"/>
  <c r="P392" i="8"/>
  <c r="P357" i="8"/>
  <c r="J18" i="8" s="1" a="1"/>
  <c r="J18" i="8" s="1"/>
  <c r="J20" i="8" s="1"/>
  <c r="P370" i="8"/>
  <c r="P391" i="8"/>
  <c r="P369" i="8"/>
  <c r="BZ27" i="2"/>
  <c r="BO27" i="2"/>
  <c r="BA27" i="2"/>
  <c r="AM26" i="2"/>
  <c r="AM27" i="2"/>
  <c r="W168" i="2"/>
  <c r="X168" i="2"/>
  <c r="AB126" i="2"/>
  <c r="W119" i="2"/>
  <c r="W97" i="2"/>
  <c r="W41" i="2"/>
  <c r="AB39" i="2"/>
  <c r="Y26" i="2"/>
  <c r="Y27" i="2"/>
  <c r="J23" i="2"/>
  <c r="J27" i="2"/>
  <c r="J134" i="2"/>
  <c r="H119" i="2"/>
  <c r="H168" i="2"/>
  <c r="H160" i="2"/>
  <c r="I168" i="2"/>
  <c r="M126" i="2"/>
  <c r="H96" i="2"/>
  <c r="M39" i="2"/>
  <c r="M32" i="2"/>
  <c r="H41" i="2"/>
  <c r="BX161" i="2"/>
  <c r="BX162" i="2"/>
  <c r="BX163" i="2"/>
  <c r="BX164" i="2"/>
  <c r="BX165" i="2"/>
  <c r="BX166" i="2"/>
  <c r="BX167" i="2"/>
  <c r="BX160" i="2"/>
  <c r="BY167" i="2"/>
  <c r="BY166" i="2"/>
  <c r="BY165" i="2"/>
  <c r="BY164" i="2"/>
  <c r="BY163" i="2"/>
  <c r="BY162" i="2"/>
  <c r="BY161" i="2"/>
  <c r="BM161" i="2"/>
  <c r="BM162" i="2"/>
  <c r="BM163" i="2"/>
  <c r="BM164" i="2"/>
  <c r="BM165" i="2"/>
  <c r="BM166" i="2"/>
  <c r="BM167" i="2"/>
  <c r="BM160" i="2"/>
  <c r="BN167" i="2"/>
  <c r="BN166" i="2"/>
  <c r="BN165" i="2"/>
  <c r="BN164" i="2"/>
  <c r="BN163" i="2"/>
  <c r="BN162" i="2"/>
  <c r="BN161" i="2"/>
  <c r="AY161" i="2"/>
  <c r="AY162" i="2"/>
  <c r="AY163" i="2"/>
  <c r="AY164" i="2"/>
  <c r="AY165" i="2"/>
  <c r="AY166" i="2"/>
  <c r="AY167" i="2"/>
  <c r="AY160" i="2"/>
  <c r="AZ167" i="2"/>
  <c r="AZ166" i="2"/>
  <c r="AZ165" i="2"/>
  <c r="AZ164" i="2"/>
  <c r="AZ163" i="2"/>
  <c r="AZ162" i="2"/>
  <c r="AZ161" i="2"/>
  <c r="AK161" i="2"/>
  <c r="AK162" i="2"/>
  <c r="AK163" i="2"/>
  <c r="AK164" i="2"/>
  <c r="AK165" i="2"/>
  <c r="AK166" i="2"/>
  <c r="AK167" i="2"/>
  <c r="AK160" i="2"/>
  <c r="AL167" i="2"/>
  <c r="AL166" i="2"/>
  <c r="AL165" i="2"/>
  <c r="AL164" i="2"/>
  <c r="AL163" i="2"/>
  <c r="AL162" i="2"/>
  <c r="AL161" i="2"/>
  <c r="W160" i="2"/>
  <c r="W161" i="2"/>
  <c r="W162" i="2"/>
  <c r="W163" i="2"/>
  <c r="W164" i="2"/>
  <c r="W165" i="2"/>
  <c r="W166" i="2"/>
  <c r="W167" i="2"/>
  <c r="X167" i="2"/>
  <c r="X166" i="2"/>
  <c r="X165" i="2"/>
  <c r="X164" i="2"/>
  <c r="X163" i="2"/>
  <c r="X162" i="2"/>
  <c r="X161" i="2"/>
  <c r="CC119" i="2"/>
  <c r="CC120" i="2"/>
  <c r="CC121" i="2"/>
  <c r="CC122" i="2"/>
  <c r="CC123" i="2"/>
  <c r="CC124" i="2"/>
  <c r="CC125" i="2"/>
  <c r="CC118" i="2"/>
  <c r="BX118" i="2"/>
  <c r="BY118" i="2" s="1"/>
  <c r="BY144" i="2" s="1"/>
  <c r="BR118" i="2"/>
  <c r="BR119" i="2"/>
  <c r="BR120" i="2"/>
  <c r="BR121" i="2"/>
  <c r="BR122" i="2"/>
  <c r="BR123" i="2"/>
  <c r="BR124" i="2"/>
  <c r="BR125" i="2"/>
  <c r="BM118" i="2"/>
  <c r="BN118" i="2" s="1"/>
  <c r="BD119" i="2"/>
  <c r="BD120" i="2"/>
  <c r="BD121" i="2"/>
  <c r="BD122" i="2"/>
  <c r="BD123" i="2"/>
  <c r="BD124" i="2"/>
  <c r="BD125" i="2"/>
  <c r="BD118" i="2"/>
  <c r="AY118" i="2"/>
  <c r="AZ118" i="2" s="1"/>
  <c r="AP119" i="2"/>
  <c r="AP120" i="2"/>
  <c r="AP121" i="2"/>
  <c r="AP122" i="2"/>
  <c r="AP123" i="2"/>
  <c r="AP124" i="2"/>
  <c r="AP125" i="2"/>
  <c r="AP118" i="2"/>
  <c r="AK118" i="2"/>
  <c r="AL118" i="2" s="1"/>
  <c r="AB119" i="2"/>
  <c r="AB120" i="2"/>
  <c r="AB121" i="2"/>
  <c r="AB122" i="2"/>
  <c r="AB123" i="2"/>
  <c r="AB124" i="2"/>
  <c r="AB125" i="2"/>
  <c r="AB118" i="2"/>
  <c r="W118" i="2"/>
  <c r="BX89" i="2"/>
  <c r="BX90" i="2"/>
  <c r="BX91" i="2"/>
  <c r="BX92" i="2"/>
  <c r="BX93" i="2"/>
  <c r="BX94" i="2"/>
  <c r="BX95" i="2"/>
  <c r="BX96" i="2"/>
  <c r="BX88" i="2"/>
  <c r="BM88" i="2"/>
  <c r="BM89" i="2"/>
  <c r="BM90" i="2"/>
  <c r="BM91" i="2"/>
  <c r="BM92" i="2"/>
  <c r="BM93" i="2"/>
  <c r="BM94" i="2"/>
  <c r="BM95" i="2"/>
  <c r="BM96" i="2"/>
  <c r="AY89" i="2"/>
  <c r="AY90" i="2"/>
  <c r="AY91" i="2"/>
  <c r="AY92" i="2"/>
  <c r="AY93" i="2"/>
  <c r="AY94" i="2"/>
  <c r="AY95" i="2"/>
  <c r="AY96" i="2"/>
  <c r="AY88" i="2"/>
  <c r="AK89" i="2"/>
  <c r="AK90" i="2"/>
  <c r="AK91" i="2"/>
  <c r="AK92" i="2"/>
  <c r="AK93" i="2"/>
  <c r="AK94" i="2"/>
  <c r="AK95" i="2"/>
  <c r="AK96" i="2"/>
  <c r="AK88" i="2"/>
  <c r="W89" i="2"/>
  <c r="W90" i="2"/>
  <c r="W91" i="2"/>
  <c r="W92" i="2"/>
  <c r="W93" i="2"/>
  <c r="W94" i="2"/>
  <c r="W95" i="2"/>
  <c r="W96" i="2"/>
  <c r="W88" i="2"/>
  <c r="CC31" i="2"/>
  <c r="CC32" i="2"/>
  <c r="CC33" i="2"/>
  <c r="CC34" i="2"/>
  <c r="CC35" i="2"/>
  <c r="CC36" i="2"/>
  <c r="CC30" i="2"/>
  <c r="BR32" i="2"/>
  <c r="BR30" i="2"/>
  <c r="BR31" i="2"/>
  <c r="BR33" i="2"/>
  <c r="BR34" i="2"/>
  <c r="BR35" i="2"/>
  <c r="BR36" i="2"/>
  <c r="BD31" i="2"/>
  <c r="BD32" i="2"/>
  <c r="BD33" i="2"/>
  <c r="BD34" i="2"/>
  <c r="BD35" i="2"/>
  <c r="BD36" i="2"/>
  <c r="BD37" i="2"/>
  <c r="AY31" i="2"/>
  <c r="AP36" i="2"/>
  <c r="AP32" i="2"/>
  <c r="AP33" i="2"/>
  <c r="AP34" i="2"/>
  <c r="AP35" i="2"/>
  <c r="AP37" i="2"/>
  <c r="AP31" i="2"/>
  <c r="AB32" i="2"/>
  <c r="BX30" i="2"/>
  <c r="BX31" i="2"/>
  <c r="BX32" i="2"/>
  <c r="BX33" i="2"/>
  <c r="BX34" i="2"/>
  <c r="BX35" i="2"/>
  <c r="BX36" i="2"/>
  <c r="BX37" i="2"/>
  <c r="BX38" i="2"/>
  <c r="CD36" i="2"/>
  <c r="CD35" i="2"/>
  <c r="CD34" i="2"/>
  <c r="CD33" i="2"/>
  <c r="CD32" i="2"/>
  <c r="CD31" i="2"/>
  <c r="BM31" i="2"/>
  <c r="BM30" i="2"/>
  <c r="BM32" i="2"/>
  <c r="BM33" i="2"/>
  <c r="BM34" i="2"/>
  <c r="BM35" i="2"/>
  <c r="BM36" i="2"/>
  <c r="BM37" i="2"/>
  <c r="BM38" i="2"/>
  <c r="BS36" i="2"/>
  <c r="BS35" i="2"/>
  <c r="BS34" i="2"/>
  <c r="BS33" i="2"/>
  <c r="BS32" i="2"/>
  <c r="BS31" i="2"/>
  <c r="AY38" i="2"/>
  <c r="H32" i="2"/>
  <c r="AY32" i="2"/>
  <c r="AY33" i="2"/>
  <c r="AY34" i="2"/>
  <c r="AY35" i="2"/>
  <c r="AY36" i="2"/>
  <c r="AY37" i="2"/>
  <c r="AY39" i="2"/>
  <c r="BE37" i="2"/>
  <c r="BE36" i="2"/>
  <c r="BE35" i="2"/>
  <c r="BE34" i="2"/>
  <c r="BE33" i="2"/>
  <c r="BE32" i="2"/>
  <c r="AK37" i="2"/>
  <c r="AK32" i="2"/>
  <c r="AK33" i="2"/>
  <c r="AK34" i="2"/>
  <c r="AK35" i="2"/>
  <c r="AK36" i="2"/>
  <c r="AK38" i="2"/>
  <c r="AK39" i="2"/>
  <c r="AK31" i="2"/>
  <c r="AQ37" i="2"/>
  <c r="AQ36" i="2"/>
  <c r="AQ35" i="2"/>
  <c r="AQ34" i="2"/>
  <c r="AQ33" i="2"/>
  <c r="AQ32" i="2"/>
  <c r="AB33" i="2"/>
  <c r="AB34" i="2"/>
  <c r="AB35" i="2"/>
  <c r="AB36" i="2"/>
  <c r="AB37" i="2"/>
  <c r="AB38" i="2"/>
  <c r="W33" i="2"/>
  <c r="W34" i="2"/>
  <c r="W35" i="2"/>
  <c r="W36" i="2"/>
  <c r="W37" i="2"/>
  <c r="W38" i="2"/>
  <c r="W39" i="2"/>
  <c r="W40" i="2"/>
  <c r="W32" i="2"/>
  <c r="AC38" i="2"/>
  <c r="AC37" i="2"/>
  <c r="AC36" i="2"/>
  <c r="AC35" i="2"/>
  <c r="AC34" i="2"/>
  <c r="AC33" i="2"/>
  <c r="H36" i="2"/>
  <c r="H34" i="2"/>
  <c r="H35" i="2"/>
  <c r="H37" i="2"/>
  <c r="H38" i="2"/>
  <c r="H39" i="2"/>
  <c r="H40" i="2"/>
  <c r="H161" i="2"/>
  <c r="H162" i="2"/>
  <c r="H163" i="2"/>
  <c r="H164" i="2"/>
  <c r="H165" i="2"/>
  <c r="H166" i="2"/>
  <c r="H167" i="2"/>
  <c r="I161" i="2"/>
  <c r="I162" i="2"/>
  <c r="I163" i="2"/>
  <c r="I164" i="2"/>
  <c r="I165" i="2"/>
  <c r="I166" i="2"/>
  <c r="I167" i="2"/>
  <c r="M118" i="2"/>
  <c r="I112" i="2"/>
  <c r="M121" i="2"/>
  <c r="H118" i="2"/>
  <c r="H87" i="2"/>
  <c r="M120" i="2"/>
  <c r="M119" i="2"/>
  <c r="M122" i="2"/>
  <c r="M123" i="2"/>
  <c r="M124" i="2"/>
  <c r="M125" i="2"/>
  <c r="H88" i="2"/>
  <c r="H89" i="2"/>
  <c r="H90" i="2"/>
  <c r="H91" i="2"/>
  <c r="H92" i="2"/>
  <c r="H93" i="2"/>
  <c r="H94" i="2"/>
  <c r="H95" i="2"/>
  <c r="M33" i="2"/>
  <c r="M34" i="2"/>
  <c r="M35" i="2"/>
  <c r="M36" i="2"/>
  <c r="M37" i="2"/>
  <c r="M38" i="2"/>
  <c r="N33" i="2"/>
  <c r="N34" i="2"/>
  <c r="N35" i="2"/>
  <c r="N36" i="2"/>
  <c r="N37" i="2"/>
  <c r="N38" i="2"/>
  <c r="J21" i="8" l="1" a="1"/>
  <c r="J21" i="8" s="1"/>
  <c r="J23" i="8" s="1"/>
  <c r="J24" i="8" a="1"/>
  <c r="J24" i="8" s="1"/>
  <c r="J26" i="8" s="1"/>
  <c r="J15" i="8" a="1"/>
  <c r="J15" i="8" s="1"/>
  <c r="X32" i="2"/>
  <c r="X88" i="2"/>
  <c r="W100" i="2" s="1"/>
  <c r="AC118" i="2"/>
  <c r="X160" i="2"/>
  <c r="Y187" i="2" s="1"/>
  <c r="X118" i="2"/>
  <c r="X136" i="2" s="1"/>
  <c r="I118" i="2"/>
  <c r="I144" i="2" s="1"/>
  <c r="I160" i="2"/>
  <c r="J170" i="2" s="1"/>
  <c r="N32" i="2"/>
  <c r="H77" i="2" s="1"/>
  <c r="I32" i="2"/>
  <c r="I87" i="2"/>
  <c r="N118" i="2"/>
  <c r="AZ160" i="2"/>
  <c r="BA187" i="2" s="1"/>
  <c r="BY160" i="2"/>
  <c r="BZ182" i="2" s="1"/>
  <c r="CD30" i="2"/>
  <c r="BX77" i="2" s="1"/>
  <c r="BY30" i="2"/>
  <c r="BN160" i="2"/>
  <c r="BO170" i="2" s="1"/>
  <c r="BN30" i="2"/>
  <c r="BS118" i="2"/>
  <c r="BN88" i="2"/>
  <c r="BM99" i="2" s="1"/>
  <c r="AZ151" i="2"/>
  <c r="AZ144" i="2"/>
  <c r="BN144" i="2"/>
  <c r="BN129" i="2"/>
  <c r="BN151" i="2"/>
  <c r="BN136" i="2"/>
  <c r="BY129" i="2"/>
  <c r="BY151" i="2"/>
  <c r="BY136" i="2"/>
  <c r="AQ31" i="2"/>
  <c r="AK67" i="2" s="1"/>
  <c r="BY88" i="2"/>
  <c r="CD118" i="2"/>
  <c r="BY148" i="2" s="1"/>
  <c r="AL88" i="2"/>
  <c r="AK112" i="2" s="1"/>
  <c r="BE118" i="2"/>
  <c r="AL160" i="2"/>
  <c r="AM182" i="2" s="1"/>
  <c r="AZ31" i="2"/>
  <c r="BE31" i="2"/>
  <c r="AY57" i="2" s="1"/>
  <c r="AZ88" i="2"/>
  <c r="AY112" i="2" s="1"/>
  <c r="AZ136" i="2"/>
  <c r="AZ129" i="2"/>
  <c r="AQ118" i="2"/>
  <c r="AL31" i="2"/>
  <c r="AL151" i="2"/>
  <c r="AL144" i="2"/>
  <c r="AL136" i="2"/>
  <c r="AL129" i="2"/>
  <c r="AC32" i="2"/>
  <c r="BS30" i="2"/>
  <c r="Y23" i="2"/>
  <c r="AM23" i="2"/>
  <c r="BA23" i="2"/>
  <c r="BO23" i="2"/>
  <c r="BZ23" i="2"/>
  <c r="J24" i="2"/>
  <c r="Y24" i="2"/>
  <c r="AM24" i="2"/>
  <c r="BA24" i="2"/>
  <c r="BO24" i="2"/>
  <c r="BZ24" i="2"/>
  <c r="J25" i="2"/>
  <c r="Y25" i="2"/>
  <c r="AM25" i="2"/>
  <c r="BA25" i="2"/>
  <c r="BO25" i="2"/>
  <c r="BZ25" i="2"/>
  <c r="J26" i="2"/>
  <c r="BA26" i="2"/>
  <c r="BO26" i="2"/>
  <c r="BZ26" i="2"/>
  <c r="I46" i="2"/>
  <c r="X46" i="2"/>
  <c r="AL46" i="2"/>
  <c r="AZ46" i="2"/>
  <c r="BN46" i="2"/>
  <c r="BY46" i="2"/>
  <c r="I47" i="2"/>
  <c r="X47" i="2"/>
  <c r="AL47" i="2"/>
  <c r="AZ47" i="2"/>
  <c r="BN47" i="2"/>
  <c r="BY47" i="2"/>
  <c r="I48" i="2"/>
  <c r="X48" i="2"/>
  <c r="AL48" i="2"/>
  <c r="AN48" i="2"/>
  <c r="AZ48" i="2"/>
  <c r="BB48" i="2"/>
  <c r="BN48" i="2"/>
  <c r="BP48" i="2"/>
  <c r="BY48" i="2"/>
  <c r="CA48" i="2"/>
  <c r="I49" i="2"/>
  <c r="K49" i="2"/>
  <c r="X49" i="2"/>
  <c r="Z49" i="2"/>
  <c r="AL49" i="2"/>
  <c r="AN49" i="2"/>
  <c r="AZ49" i="2"/>
  <c r="BB49" i="2"/>
  <c r="BN49" i="2"/>
  <c r="BP49" i="2"/>
  <c r="BY49" i="2"/>
  <c r="CA49" i="2"/>
  <c r="I50" i="2"/>
  <c r="K50" i="2"/>
  <c r="X50" i="2"/>
  <c r="Z50" i="2"/>
  <c r="AL50" i="2"/>
  <c r="AN50" i="2"/>
  <c r="AZ50" i="2"/>
  <c r="BB50" i="2"/>
  <c r="BN50" i="2"/>
  <c r="BP50" i="2"/>
  <c r="BY50" i="2"/>
  <c r="CA50" i="2"/>
  <c r="I51" i="2"/>
  <c r="K51" i="2"/>
  <c r="X51" i="2"/>
  <c r="Z51" i="2"/>
  <c r="AL51" i="2"/>
  <c r="AN51" i="2"/>
  <c r="AZ51" i="2"/>
  <c r="BB51" i="2"/>
  <c r="BN51" i="2"/>
  <c r="BP51" i="2"/>
  <c r="BY51" i="2"/>
  <c r="CA51" i="2"/>
  <c r="I55" i="2"/>
  <c r="X55" i="2"/>
  <c r="AL55" i="2"/>
  <c r="AZ55" i="2"/>
  <c r="BN55" i="2"/>
  <c r="BY55" i="2"/>
  <c r="I56" i="2"/>
  <c r="X56" i="2"/>
  <c r="AL56" i="2"/>
  <c r="AZ56" i="2"/>
  <c r="BN56" i="2"/>
  <c r="BY56" i="2"/>
  <c r="I57" i="2"/>
  <c r="K57" i="2"/>
  <c r="X57" i="2"/>
  <c r="Z57" i="2"/>
  <c r="AL57" i="2"/>
  <c r="AN57" i="2"/>
  <c r="AZ57" i="2"/>
  <c r="BB57" i="2"/>
  <c r="BN57" i="2"/>
  <c r="BP57" i="2"/>
  <c r="BY57" i="2"/>
  <c r="CA57" i="2"/>
  <c r="I58" i="2"/>
  <c r="K58" i="2"/>
  <c r="X58" i="2"/>
  <c r="Z58" i="2"/>
  <c r="AL58" i="2"/>
  <c r="AN58" i="2"/>
  <c r="AZ58" i="2"/>
  <c r="BB58" i="2"/>
  <c r="BN58" i="2"/>
  <c r="BP58" i="2"/>
  <c r="BY58" i="2"/>
  <c r="CA58" i="2"/>
  <c r="I59" i="2"/>
  <c r="K59" i="2"/>
  <c r="X59" i="2"/>
  <c r="Z59" i="2"/>
  <c r="AL59" i="2"/>
  <c r="AN59" i="2"/>
  <c r="AZ59" i="2"/>
  <c r="BB59" i="2"/>
  <c r="BN59" i="2"/>
  <c r="BP59" i="2"/>
  <c r="BY59" i="2"/>
  <c r="CA59" i="2"/>
  <c r="I60" i="2"/>
  <c r="K60" i="2"/>
  <c r="X60" i="2"/>
  <c r="Z60" i="2"/>
  <c r="AL60" i="2"/>
  <c r="AN60" i="2"/>
  <c r="AZ60" i="2"/>
  <c r="BB60" i="2"/>
  <c r="BN60" i="2"/>
  <c r="BP60" i="2"/>
  <c r="BY60" i="2"/>
  <c r="CA60" i="2"/>
  <c r="I65" i="2"/>
  <c r="X65" i="2"/>
  <c r="AL65" i="2"/>
  <c r="AZ65" i="2"/>
  <c r="BN65" i="2"/>
  <c r="BY65" i="2"/>
  <c r="I66" i="2"/>
  <c r="X66" i="2"/>
  <c r="AL66" i="2"/>
  <c r="AZ66" i="2"/>
  <c r="BN66" i="2"/>
  <c r="BY66" i="2"/>
  <c r="I67" i="2"/>
  <c r="K67" i="2"/>
  <c r="X67" i="2"/>
  <c r="Z67" i="2"/>
  <c r="AL67" i="2"/>
  <c r="AN67" i="2"/>
  <c r="AZ67" i="2"/>
  <c r="BB67" i="2"/>
  <c r="BN67" i="2"/>
  <c r="BP67" i="2"/>
  <c r="BY67" i="2"/>
  <c r="CA67" i="2"/>
  <c r="I68" i="2"/>
  <c r="K68" i="2"/>
  <c r="X68" i="2"/>
  <c r="Z68" i="2"/>
  <c r="AL68" i="2"/>
  <c r="AN68" i="2"/>
  <c r="AZ68" i="2"/>
  <c r="BB68" i="2"/>
  <c r="BN68" i="2"/>
  <c r="BP68" i="2"/>
  <c r="BY68" i="2"/>
  <c r="CA68" i="2"/>
  <c r="I69" i="2"/>
  <c r="K69" i="2"/>
  <c r="X69" i="2"/>
  <c r="Z69" i="2"/>
  <c r="AL69" i="2"/>
  <c r="AN69" i="2"/>
  <c r="AZ69" i="2"/>
  <c r="BB69" i="2"/>
  <c r="BN69" i="2"/>
  <c r="BP69" i="2"/>
  <c r="BY69" i="2"/>
  <c r="CA69" i="2"/>
  <c r="I70" i="2"/>
  <c r="K70" i="2"/>
  <c r="X70" i="2"/>
  <c r="Z70" i="2"/>
  <c r="AL70" i="2"/>
  <c r="AN70" i="2"/>
  <c r="AZ70" i="2"/>
  <c r="BB70" i="2"/>
  <c r="BN70" i="2"/>
  <c r="BP70" i="2"/>
  <c r="BY70" i="2"/>
  <c r="CA70" i="2"/>
  <c r="I75" i="2"/>
  <c r="X75" i="2"/>
  <c r="AL75" i="2"/>
  <c r="AZ75" i="2"/>
  <c r="BN75" i="2"/>
  <c r="BY75" i="2"/>
  <c r="I76" i="2"/>
  <c r="X76" i="2"/>
  <c r="AL76" i="2"/>
  <c r="AZ76" i="2"/>
  <c r="BN76" i="2"/>
  <c r="BY76" i="2"/>
  <c r="I77" i="2"/>
  <c r="K77" i="2"/>
  <c r="X77" i="2"/>
  <c r="Z77" i="2"/>
  <c r="AL77" i="2"/>
  <c r="AN77" i="2"/>
  <c r="AZ77" i="2"/>
  <c r="BB77" i="2"/>
  <c r="BN77" i="2"/>
  <c r="BP77" i="2"/>
  <c r="BY77" i="2"/>
  <c r="CA77" i="2"/>
  <c r="I78" i="2"/>
  <c r="K78" i="2"/>
  <c r="X78" i="2"/>
  <c r="Z78" i="2"/>
  <c r="AL78" i="2"/>
  <c r="AN78" i="2"/>
  <c r="AZ78" i="2"/>
  <c r="BB78" i="2"/>
  <c r="BN78" i="2"/>
  <c r="BP78" i="2"/>
  <c r="BY78" i="2"/>
  <c r="CA78" i="2"/>
  <c r="I79" i="2"/>
  <c r="K79" i="2"/>
  <c r="X79" i="2"/>
  <c r="Z79" i="2"/>
  <c r="AL79" i="2"/>
  <c r="AN79" i="2"/>
  <c r="AZ79" i="2"/>
  <c r="BB79" i="2"/>
  <c r="BN79" i="2"/>
  <c r="BP79" i="2"/>
  <c r="BY79" i="2"/>
  <c r="CA79" i="2"/>
  <c r="I80" i="2"/>
  <c r="J78" i="2" s="1"/>
  <c r="K80" i="2"/>
  <c r="X80" i="2"/>
  <c r="Y80" i="2" s="1"/>
  <c r="AA79" i="2" s="1"/>
  <c r="Z80" i="2"/>
  <c r="AL80" i="2"/>
  <c r="AM78" i="2" s="1"/>
  <c r="AN80" i="2"/>
  <c r="AZ80" i="2"/>
  <c r="BA80" i="2" s="1"/>
  <c r="BB80" i="2"/>
  <c r="BN80" i="2"/>
  <c r="BO78" i="2" s="1"/>
  <c r="BP80" i="2"/>
  <c r="BY80" i="2"/>
  <c r="BZ80" i="2" s="1"/>
  <c r="CB78" i="2" s="1"/>
  <c r="CA80" i="2"/>
  <c r="I99" i="2"/>
  <c r="X99" i="2"/>
  <c r="AL99" i="2"/>
  <c r="AZ99" i="2"/>
  <c r="BN99" i="2"/>
  <c r="BY99" i="2"/>
  <c r="I100" i="2"/>
  <c r="X100" i="2"/>
  <c r="AL100" i="2"/>
  <c r="AZ100" i="2"/>
  <c r="BN100" i="2"/>
  <c r="BY100" i="2"/>
  <c r="I103" i="2"/>
  <c r="X103" i="2"/>
  <c r="AL103" i="2"/>
  <c r="AZ103" i="2"/>
  <c r="BN103" i="2"/>
  <c r="BY103" i="2"/>
  <c r="I104" i="2"/>
  <c r="X104" i="2"/>
  <c r="AL104" i="2"/>
  <c r="AZ104" i="2"/>
  <c r="BN104" i="2"/>
  <c r="BY104" i="2"/>
  <c r="I108" i="2"/>
  <c r="X108" i="2"/>
  <c r="AL108" i="2"/>
  <c r="AZ108" i="2"/>
  <c r="BN108" i="2"/>
  <c r="BY108" i="2"/>
  <c r="I109" i="2"/>
  <c r="X109" i="2"/>
  <c r="AL109" i="2"/>
  <c r="AZ109" i="2"/>
  <c r="BN109" i="2"/>
  <c r="BY109" i="2"/>
  <c r="X112" i="2"/>
  <c r="AL112" i="2"/>
  <c r="AZ112" i="2"/>
  <c r="BN112" i="2"/>
  <c r="BY112" i="2"/>
  <c r="I113" i="2"/>
  <c r="X113" i="2"/>
  <c r="AL113" i="2"/>
  <c r="AZ113" i="2"/>
  <c r="BN113" i="2"/>
  <c r="BY113" i="2"/>
  <c r="J129" i="2"/>
  <c r="Y129" i="2"/>
  <c r="AM129" i="2"/>
  <c r="BA129" i="2"/>
  <c r="BO129" i="2"/>
  <c r="BZ129" i="2"/>
  <c r="J130" i="2"/>
  <c r="Y130" i="2"/>
  <c r="AM130" i="2"/>
  <c r="BA130" i="2"/>
  <c r="BO130" i="2"/>
  <c r="BZ130" i="2"/>
  <c r="J131" i="2"/>
  <c r="Y131" i="2"/>
  <c r="AM131" i="2"/>
  <c r="BA131" i="2"/>
  <c r="BO131" i="2"/>
  <c r="BZ131" i="2"/>
  <c r="J132" i="2"/>
  <c r="Y132" i="2"/>
  <c r="AM132" i="2"/>
  <c r="BA132" i="2"/>
  <c r="BO132" i="2"/>
  <c r="BZ132" i="2"/>
  <c r="J133" i="2"/>
  <c r="Y133" i="2"/>
  <c r="AM133" i="2"/>
  <c r="BA133" i="2"/>
  <c r="BO133" i="2"/>
  <c r="BZ133" i="2"/>
  <c r="J136" i="2"/>
  <c r="Y136" i="2"/>
  <c r="AM136" i="2"/>
  <c r="BA136" i="2"/>
  <c r="BO136" i="2"/>
  <c r="BZ136" i="2"/>
  <c r="J137" i="2"/>
  <c r="Y137" i="2"/>
  <c r="AM137" i="2"/>
  <c r="BA137" i="2"/>
  <c r="BO137" i="2"/>
  <c r="BZ137" i="2"/>
  <c r="J138" i="2"/>
  <c r="Y138" i="2"/>
  <c r="AM138" i="2"/>
  <c r="BA138" i="2"/>
  <c r="BO138" i="2"/>
  <c r="BZ138" i="2"/>
  <c r="J139" i="2"/>
  <c r="Y139" i="2"/>
  <c r="AM139" i="2"/>
  <c r="BA139" i="2"/>
  <c r="BO139" i="2"/>
  <c r="BZ139" i="2"/>
  <c r="J140" i="2"/>
  <c r="Y140" i="2"/>
  <c r="AM140" i="2"/>
  <c r="BA140" i="2"/>
  <c r="BO140" i="2"/>
  <c r="BZ140" i="2"/>
  <c r="J144" i="2"/>
  <c r="Y144" i="2"/>
  <c r="AM144" i="2"/>
  <c r="BA144" i="2"/>
  <c r="BO144" i="2"/>
  <c r="BZ144" i="2"/>
  <c r="J145" i="2"/>
  <c r="Y145" i="2"/>
  <c r="AM145" i="2"/>
  <c r="BA145" i="2"/>
  <c r="BO145" i="2"/>
  <c r="BZ145" i="2"/>
  <c r="J146" i="2"/>
  <c r="Y146" i="2"/>
  <c r="AM146" i="2"/>
  <c r="BA146" i="2"/>
  <c r="BO146" i="2"/>
  <c r="BZ146" i="2"/>
  <c r="J147" i="2"/>
  <c r="Y147" i="2"/>
  <c r="AM147" i="2"/>
  <c r="BA147" i="2"/>
  <c r="BO147" i="2"/>
  <c r="BZ147" i="2"/>
  <c r="J148" i="2"/>
  <c r="Y148" i="2"/>
  <c r="AM148" i="2"/>
  <c r="BA148" i="2"/>
  <c r="BO148" i="2"/>
  <c r="BZ148" i="2"/>
  <c r="J151" i="2"/>
  <c r="Y151" i="2"/>
  <c r="AM151" i="2"/>
  <c r="BA151" i="2"/>
  <c r="BO151" i="2"/>
  <c r="BZ151" i="2"/>
  <c r="J152" i="2"/>
  <c r="Y152" i="2"/>
  <c r="AM152" i="2"/>
  <c r="BA152" i="2"/>
  <c r="BO152" i="2"/>
  <c r="BZ152" i="2"/>
  <c r="J153" i="2"/>
  <c r="Y153" i="2"/>
  <c r="AM153" i="2"/>
  <c r="BA153" i="2"/>
  <c r="BO153" i="2"/>
  <c r="BZ153" i="2"/>
  <c r="J154" i="2"/>
  <c r="Y154" i="2"/>
  <c r="AM154" i="2"/>
  <c r="BA154" i="2"/>
  <c r="BO154" i="2"/>
  <c r="BZ154" i="2"/>
  <c r="J155" i="2"/>
  <c r="Y155" i="2"/>
  <c r="AM155" i="2"/>
  <c r="BA155" i="2"/>
  <c r="BO155" i="2"/>
  <c r="BZ155" i="2"/>
  <c r="K169" i="2"/>
  <c r="Z169" i="2"/>
  <c r="AN169" i="2"/>
  <c r="BB169" i="2"/>
  <c r="BP169" i="2"/>
  <c r="CA169" i="2"/>
  <c r="K170" i="2"/>
  <c r="Z170" i="2"/>
  <c r="AN170" i="2"/>
  <c r="BB170" i="2"/>
  <c r="BP170" i="2"/>
  <c r="CA170" i="2"/>
  <c r="K171" i="2"/>
  <c r="Z171" i="2"/>
  <c r="AN171" i="2"/>
  <c r="BB171" i="2"/>
  <c r="BP171" i="2"/>
  <c r="CA171" i="2"/>
  <c r="K174" i="2"/>
  <c r="Z174" i="2"/>
  <c r="AN174" i="2"/>
  <c r="BB174" i="2"/>
  <c r="BP174" i="2"/>
  <c r="CA174" i="2"/>
  <c r="K175" i="2"/>
  <c r="Z175" i="2"/>
  <c r="AN175" i="2"/>
  <c r="BB175" i="2"/>
  <c r="BP175" i="2"/>
  <c r="CA175" i="2"/>
  <c r="K176" i="2"/>
  <c r="Z176" i="2"/>
  <c r="AN176" i="2"/>
  <c r="BB176" i="2"/>
  <c r="BP176" i="2"/>
  <c r="CA176" i="2"/>
  <c r="K180" i="2"/>
  <c r="Z180" i="2"/>
  <c r="AN180" i="2"/>
  <c r="BB180" i="2"/>
  <c r="BP180" i="2"/>
  <c r="CA180" i="2"/>
  <c r="K181" i="2"/>
  <c r="Z181" i="2"/>
  <c r="AN181" i="2"/>
  <c r="BB181" i="2"/>
  <c r="BP181" i="2"/>
  <c r="CA181" i="2"/>
  <c r="K182" i="2"/>
  <c r="Z182" i="2"/>
  <c r="AN182" i="2"/>
  <c r="BB182" i="2"/>
  <c r="BP182" i="2"/>
  <c r="CA182" i="2"/>
  <c r="K185" i="2"/>
  <c r="Z185" i="2"/>
  <c r="AN185" i="2"/>
  <c r="BB185" i="2"/>
  <c r="BP185" i="2"/>
  <c r="CA185" i="2"/>
  <c r="K186" i="2"/>
  <c r="Z186" i="2"/>
  <c r="AN186" i="2"/>
  <c r="BB186" i="2"/>
  <c r="BP186" i="2"/>
  <c r="CA186" i="2"/>
  <c r="K187" i="2"/>
  <c r="Z187" i="2"/>
  <c r="AN187" i="2"/>
  <c r="BB187" i="2"/>
  <c r="BP187" i="2"/>
  <c r="CA187" i="2"/>
  <c r="J17" i="8" l="1"/>
  <c r="P17" i="8" s="1"/>
  <c r="P15" i="8"/>
  <c r="P21" i="8"/>
  <c r="P23" i="8"/>
  <c r="P24" i="8"/>
  <c r="P20" i="8"/>
  <c r="P18" i="8"/>
  <c r="P26" i="8"/>
  <c r="BN145" i="2"/>
  <c r="BN148" i="2"/>
  <c r="AZ130" i="2"/>
  <c r="AZ148" i="2"/>
  <c r="AL131" i="2"/>
  <c r="AL148" i="2"/>
  <c r="X152" i="2"/>
  <c r="X148" i="2"/>
  <c r="I145" i="2"/>
  <c r="I147" i="2"/>
  <c r="I148" i="2"/>
  <c r="I151" i="2"/>
  <c r="BA186" i="2"/>
  <c r="AK75" i="2"/>
  <c r="AN76" i="2"/>
  <c r="AN56" i="2"/>
  <c r="AN46" i="2"/>
  <c r="AN75" i="2"/>
  <c r="AN55" i="2"/>
  <c r="AN65" i="2"/>
  <c r="AN66" i="2"/>
  <c r="AN47" i="2"/>
  <c r="Z66" i="2"/>
  <c r="Z47" i="2"/>
  <c r="Z65" i="2"/>
  <c r="Z55" i="2"/>
  <c r="Z76" i="2"/>
  <c r="Z56" i="2"/>
  <c r="Z75" i="2"/>
  <c r="Z46" i="2"/>
  <c r="W76" i="2"/>
  <c r="W75" i="2"/>
  <c r="I136" i="2"/>
  <c r="H46" i="2"/>
  <c r="K47" i="2"/>
  <c r="K46" i="2"/>
  <c r="I129" i="2"/>
  <c r="BX75" i="2"/>
  <c r="CA76" i="2"/>
  <c r="CA56" i="2"/>
  <c r="CA46" i="2"/>
  <c r="CA47" i="2"/>
  <c r="CA75" i="2"/>
  <c r="CA55" i="2"/>
  <c r="CA65" i="2"/>
  <c r="CA66" i="2"/>
  <c r="BM75" i="2"/>
  <c r="BP46" i="2"/>
  <c r="BP66" i="2"/>
  <c r="BP75" i="2"/>
  <c r="BP47" i="2"/>
  <c r="BP76" i="2"/>
  <c r="BP56" i="2"/>
  <c r="BP65" i="2"/>
  <c r="BP55" i="2"/>
  <c r="AY76" i="2"/>
  <c r="BB76" i="2"/>
  <c r="BB56" i="2"/>
  <c r="BB46" i="2"/>
  <c r="BB65" i="2"/>
  <c r="BB75" i="2"/>
  <c r="BB55" i="2"/>
  <c r="BB66" i="2"/>
  <c r="BB47" i="2"/>
  <c r="CA23" i="2"/>
  <c r="CA27" i="2"/>
  <c r="BO181" i="2"/>
  <c r="BO175" i="2"/>
  <c r="BP27" i="2"/>
  <c r="BP23" i="2"/>
  <c r="BA170" i="2"/>
  <c r="BB27" i="2"/>
  <c r="BB23" i="2"/>
  <c r="BA171" i="2"/>
  <c r="BA182" i="2"/>
  <c r="AN23" i="2"/>
  <c r="AN27" i="2"/>
  <c r="X144" i="2"/>
  <c r="X151" i="2"/>
  <c r="X129" i="2"/>
  <c r="BZ175" i="2"/>
  <c r="Z23" i="2"/>
  <c r="Z27" i="2"/>
  <c r="K23" i="2"/>
  <c r="K27" i="2"/>
  <c r="K134" i="2"/>
  <c r="BZ171" i="2"/>
  <c r="AK76" i="2"/>
  <c r="BA181" i="2"/>
  <c r="BA176" i="2"/>
  <c r="BO187" i="2"/>
  <c r="BZ176" i="2"/>
  <c r="AK56" i="2"/>
  <c r="BA175" i="2"/>
  <c r="BZ170" i="2"/>
  <c r="BZ187" i="2"/>
  <c r="X130" i="2"/>
  <c r="AK47" i="2"/>
  <c r="BM56" i="2"/>
  <c r="BM65" i="2"/>
  <c r="W104" i="2"/>
  <c r="AK100" i="2"/>
  <c r="AY65" i="2"/>
  <c r="BZ186" i="2"/>
  <c r="BM66" i="2"/>
  <c r="BN137" i="2"/>
  <c r="BX57" i="2"/>
  <c r="AM171" i="2"/>
  <c r="AK55" i="2"/>
  <c r="AZ146" i="2"/>
  <c r="BX67" i="2"/>
  <c r="BM55" i="2"/>
  <c r="AY109" i="2"/>
  <c r="AY108" i="2"/>
  <c r="W99" i="2"/>
  <c r="AL153" i="2"/>
  <c r="AY67" i="2"/>
  <c r="AZ132" i="2"/>
  <c r="AZ152" i="2"/>
  <c r="BX66" i="2"/>
  <c r="AK77" i="2"/>
  <c r="AY77" i="2"/>
  <c r="AZ140" i="2"/>
  <c r="AZ138" i="2"/>
  <c r="BX48" i="2"/>
  <c r="BX47" i="2"/>
  <c r="X154" i="2"/>
  <c r="AL139" i="2"/>
  <c r="AY47" i="2"/>
  <c r="AZ137" i="2"/>
  <c r="BZ181" i="2"/>
  <c r="BM76" i="2"/>
  <c r="BM47" i="2"/>
  <c r="BX76" i="2"/>
  <c r="W46" i="2"/>
  <c r="AL147" i="2"/>
  <c r="AL137" i="2"/>
  <c r="AM176" i="2"/>
  <c r="AY100" i="2"/>
  <c r="BO171" i="2"/>
  <c r="W56" i="2"/>
  <c r="AL133" i="2"/>
  <c r="AL152" i="2"/>
  <c r="AM175" i="2"/>
  <c r="AM187" i="2"/>
  <c r="AY103" i="2"/>
  <c r="AY113" i="2"/>
  <c r="AZ145" i="2"/>
  <c r="AZ131" i="2"/>
  <c r="AZ147" i="2"/>
  <c r="BO176" i="2"/>
  <c r="BX65" i="2"/>
  <c r="BX55" i="2"/>
  <c r="AM170" i="2"/>
  <c r="AY104" i="2"/>
  <c r="W65" i="2"/>
  <c r="AL140" i="2"/>
  <c r="AL138" i="2"/>
  <c r="AM186" i="2"/>
  <c r="AY99" i="2"/>
  <c r="AY48" i="2"/>
  <c r="AZ133" i="2"/>
  <c r="AZ139" i="2"/>
  <c r="AZ155" i="2"/>
  <c r="BO186" i="2"/>
  <c r="BO182" i="2"/>
  <c r="BX46" i="2"/>
  <c r="BX56" i="2"/>
  <c r="AK48" i="2"/>
  <c r="AK46" i="2"/>
  <c r="AK65" i="2"/>
  <c r="AK57" i="2"/>
  <c r="AK103" i="2"/>
  <c r="AK66" i="2"/>
  <c r="AL154" i="2"/>
  <c r="AL130" i="2"/>
  <c r="AL146" i="2"/>
  <c r="AM181" i="2"/>
  <c r="BM100" i="2"/>
  <c r="BN147" i="2"/>
  <c r="BN139" i="2"/>
  <c r="BN146" i="2"/>
  <c r="BM104" i="2"/>
  <c r="BN140" i="2"/>
  <c r="BN138" i="2"/>
  <c r="BM103" i="2"/>
  <c r="BM109" i="2"/>
  <c r="BN154" i="2"/>
  <c r="BN155" i="2"/>
  <c r="BN152" i="2"/>
  <c r="BN153" i="2"/>
  <c r="BM108" i="2"/>
  <c r="BM113" i="2"/>
  <c r="BN131" i="2"/>
  <c r="BN132" i="2"/>
  <c r="BN133" i="2"/>
  <c r="BN130" i="2"/>
  <c r="BM112" i="2"/>
  <c r="BM46" i="2"/>
  <c r="BY152" i="2"/>
  <c r="BY147" i="2"/>
  <c r="BY138" i="2"/>
  <c r="BY133" i="2"/>
  <c r="BY155" i="2"/>
  <c r="BY146" i="2"/>
  <c r="BY137" i="2"/>
  <c r="BY132" i="2"/>
  <c r="BY154" i="2"/>
  <c r="BY145" i="2"/>
  <c r="BY140" i="2"/>
  <c r="BY131" i="2"/>
  <c r="BY139" i="2"/>
  <c r="BY153" i="2"/>
  <c r="BY130" i="2"/>
  <c r="W103" i="2"/>
  <c r="W113" i="2"/>
  <c r="AK99" i="2"/>
  <c r="AK113" i="2"/>
  <c r="AY66" i="2"/>
  <c r="BM67" i="2"/>
  <c r="BM77" i="2"/>
  <c r="BM57" i="2"/>
  <c r="BM48" i="2"/>
  <c r="W108" i="2"/>
  <c r="W112" i="2"/>
  <c r="W66" i="2"/>
  <c r="W55" i="2"/>
  <c r="AK109" i="2"/>
  <c r="AL132" i="2"/>
  <c r="AL145" i="2"/>
  <c r="AL155" i="2"/>
  <c r="AY46" i="2"/>
  <c r="AY75" i="2"/>
  <c r="AZ153" i="2"/>
  <c r="AZ154" i="2"/>
  <c r="AY55" i="2"/>
  <c r="BX112" i="2"/>
  <c r="BX108" i="2"/>
  <c r="BX103" i="2"/>
  <c r="BX100" i="2"/>
  <c r="BX99" i="2"/>
  <c r="BX109" i="2"/>
  <c r="BX104" i="2"/>
  <c r="BX113" i="2"/>
  <c r="W109" i="2"/>
  <c r="W47" i="2"/>
  <c r="AK108" i="2"/>
  <c r="AK104" i="2"/>
  <c r="AY56" i="2"/>
  <c r="X133" i="2"/>
  <c r="X139" i="2"/>
  <c r="H112" i="2"/>
  <c r="H103" i="2"/>
  <c r="X153" i="2"/>
  <c r="X138" i="2"/>
  <c r="Y171" i="2"/>
  <c r="X131" i="2"/>
  <c r="X145" i="2"/>
  <c r="Y186" i="2"/>
  <c r="Y181" i="2"/>
  <c r="X137" i="2"/>
  <c r="X140" i="2"/>
  <c r="X155" i="2"/>
  <c r="X146" i="2"/>
  <c r="Y170" i="2"/>
  <c r="Y176" i="2"/>
  <c r="Y182" i="2"/>
  <c r="X132" i="2"/>
  <c r="X147" i="2"/>
  <c r="Y175" i="2"/>
  <c r="W57" i="2"/>
  <c r="W48" i="2"/>
  <c r="W67" i="2"/>
  <c r="W77" i="2"/>
  <c r="H76" i="2"/>
  <c r="K75" i="2"/>
  <c r="K55" i="2"/>
  <c r="K65" i="2"/>
  <c r="K76" i="2"/>
  <c r="K56" i="2"/>
  <c r="K66" i="2"/>
  <c r="J171" i="2"/>
  <c r="H55" i="2"/>
  <c r="H65" i="2"/>
  <c r="H66" i="2"/>
  <c r="H75" i="2"/>
  <c r="J182" i="2"/>
  <c r="J176" i="2"/>
  <c r="J186" i="2"/>
  <c r="H56" i="2"/>
  <c r="J181" i="2"/>
  <c r="H47" i="2"/>
  <c r="J175" i="2"/>
  <c r="J187" i="2"/>
  <c r="I153" i="2"/>
  <c r="I154" i="2"/>
  <c r="I152" i="2"/>
  <c r="I133" i="2"/>
  <c r="I155" i="2"/>
  <c r="I139" i="2"/>
  <c r="I146" i="2"/>
  <c r="I138" i="2"/>
  <c r="I130" i="2"/>
  <c r="I140" i="2"/>
  <c r="I132" i="2"/>
  <c r="I131" i="2"/>
  <c r="I137" i="2"/>
  <c r="H99" i="2"/>
  <c r="H113" i="2"/>
  <c r="H104" i="2"/>
  <c r="H109" i="2"/>
  <c r="H100" i="2"/>
  <c r="H108" i="2"/>
  <c r="H48" i="2"/>
  <c r="H67" i="2"/>
  <c r="J46" i="2"/>
  <c r="M46" i="2" s="1"/>
  <c r="H57" i="2"/>
  <c r="Y113" i="2"/>
  <c r="BO100" i="2"/>
  <c r="BO79" i="2"/>
  <c r="Z145" i="2"/>
  <c r="BQ175" i="2"/>
  <c r="BQ180" i="2"/>
  <c r="AO170" i="2"/>
  <c r="BQ171" i="2"/>
  <c r="J113" i="2"/>
  <c r="AM109" i="2"/>
  <c r="BO108" i="2"/>
  <c r="J103" i="2"/>
  <c r="CA26" i="2"/>
  <c r="CA145" i="2"/>
  <c r="BZ46" i="2"/>
  <c r="Y48" i="2"/>
  <c r="BZ103" i="2"/>
  <c r="Y99" i="2"/>
  <c r="AB100" i="2" s="1"/>
  <c r="AN144" i="2"/>
  <c r="BB26" i="2"/>
  <c r="BC185" i="2"/>
  <c r="BE186" i="2" s="1"/>
  <c r="BC181" i="2"/>
  <c r="Z25" i="2"/>
  <c r="CA147" i="2"/>
  <c r="BZ109" i="2"/>
  <c r="BP26" i="2"/>
  <c r="AA186" i="2"/>
  <c r="CB186" i="2"/>
  <c r="AN155" i="2"/>
  <c r="BP154" i="2"/>
  <c r="BP140" i="2"/>
  <c r="AN139" i="2"/>
  <c r="AN133" i="2"/>
  <c r="AM112" i="2"/>
  <c r="BO109" i="2"/>
  <c r="Y104" i="2"/>
  <c r="AM100" i="2"/>
  <c r="BO99" i="2"/>
  <c r="BR99" i="2" s="1"/>
  <c r="BB25" i="2"/>
  <c r="Z24" i="2"/>
  <c r="BC187" i="2"/>
  <c r="CB182" i="2"/>
  <c r="AO187" i="2"/>
  <c r="BQ169" i="2"/>
  <c r="BT170" i="2" s="1"/>
  <c r="BQ185" i="2"/>
  <c r="BS185" i="2" s="1"/>
  <c r="L185" i="2"/>
  <c r="AO181" i="2"/>
  <c r="Z147" i="2"/>
  <c r="AM103" i="2"/>
  <c r="Y51" i="2"/>
  <c r="AB49" i="2" s="1"/>
  <c r="L180" i="2"/>
  <c r="L175" i="2"/>
  <c r="J104" i="2"/>
  <c r="K131" i="2"/>
  <c r="L187" i="2"/>
  <c r="J112" i="2"/>
  <c r="L170" i="2"/>
  <c r="L169" i="2"/>
  <c r="O170" i="2" s="1"/>
  <c r="L171" i="2"/>
  <c r="K154" i="2"/>
  <c r="K152" i="2"/>
  <c r="AN152" i="2"/>
  <c r="AN153" i="2"/>
  <c r="BP152" i="2"/>
  <c r="BB146" i="2"/>
  <c r="BB148" i="2"/>
  <c r="AA182" i="2"/>
  <c r="AO185" i="2"/>
  <c r="AO174" i="2"/>
  <c r="AO176" i="2"/>
  <c r="AN136" i="2"/>
  <c r="BP133" i="2"/>
  <c r="AN130" i="2"/>
  <c r="K129" i="2"/>
  <c r="BO112" i="2"/>
  <c r="AM108" i="2"/>
  <c r="J99" i="2"/>
  <c r="BA68" i="2"/>
  <c r="BA67" i="2"/>
  <c r="BA58" i="2"/>
  <c r="BZ57" i="2"/>
  <c r="BA57" i="2"/>
  <c r="BA56" i="2"/>
  <c r="BC175" i="2"/>
  <c r="K151" i="2"/>
  <c r="Z144" i="2"/>
  <c r="AB147" i="2" s="1"/>
  <c r="Y109" i="2"/>
  <c r="Y100" i="2"/>
  <c r="Y55" i="2"/>
  <c r="BA49" i="2"/>
  <c r="Z26" i="2"/>
  <c r="CA24" i="2"/>
  <c r="K25" i="2"/>
  <c r="AA174" i="2"/>
  <c r="AO169" i="2"/>
  <c r="AQ170" i="2" s="1"/>
  <c r="BP151" i="2"/>
  <c r="BS151" i="2" s="1"/>
  <c r="K138" i="2"/>
  <c r="BP137" i="2"/>
  <c r="BP136" i="2"/>
  <c r="BS140" i="2" s="1"/>
  <c r="K132" i="2"/>
  <c r="BP130" i="2"/>
  <c r="AN129" i="2"/>
  <c r="J108" i="2"/>
  <c r="BO103" i="2"/>
  <c r="AM99" i="2"/>
  <c r="BA77" i="2"/>
  <c r="Y77" i="2"/>
  <c r="Y68" i="2"/>
  <c r="BZ67" i="2"/>
  <c r="Y67" i="2"/>
  <c r="Y58" i="2"/>
  <c r="Y57" i="2"/>
  <c r="Y56" i="2"/>
  <c r="BA55" i="2"/>
  <c r="CA25" i="2"/>
  <c r="BB24" i="2"/>
  <c r="BQ187" i="2"/>
  <c r="BQ181" i="2"/>
  <c r="BQ170" i="2"/>
  <c r="K145" i="2"/>
  <c r="K140" i="2"/>
  <c r="BP138" i="2"/>
  <c r="AN137" i="2"/>
  <c r="K137" i="2"/>
  <c r="K136" i="2"/>
  <c r="BP132" i="2"/>
  <c r="AN131" i="2"/>
  <c r="K130" i="2"/>
  <c r="BP129" i="2"/>
  <c r="BO113" i="2"/>
  <c r="AM113" i="2"/>
  <c r="J109" i="2"/>
  <c r="BO104" i="2"/>
  <c r="AM104" i="2"/>
  <c r="J100" i="2"/>
  <c r="AA78" i="2"/>
  <c r="Y49" i="2"/>
  <c r="BA46" i="2"/>
  <c r="BO46" i="2"/>
  <c r="AN26" i="2"/>
  <c r="BZ104" i="2"/>
  <c r="CB174" i="2"/>
  <c r="BZ68" i="2"/>
  <c r="BZ66" i="2"/>
  <c r="BZ58" i="2"/>
  <c r="BZ56" i="2"/>
  <c r="BZ55" i="2"/>
  <c r="BZ113" i="2"/>
  <c r="BZ51" i="2"/>
  <c r="CB51" i="2" s="1"/>
  <c r="BZ47" i="2"/>
  <c r="BZ100" i="2"/>
  <c r="BC170" i="2"/>
  <c r="CA154" i="2"/>
  <c r="CA151" i="2"/>
  <c r="CA153" i="2"/>
  <c r="CA155" i="2"/>
  <c r="CA152" i="2"/>
  <c r="Z152" i="2"/>
  <c r="BA99" i="2"/>
  <c r="BA100" i="2"/>
  <c r="AM75" i="2"/>
  <c r="AM76" i="2"/>
  <c r="AM77" i="2"/>
  <c r="AO186" i="2"/>
  <c r="BC186" i="2"/>
  <c r="AO182" i="2"/>
  <c r="BC182" i="2"/>
  <c r="L181" i="2"/>
  <c r="BQ182" i="2"/>
  <c r="CB176" i="2"/>
  <c r="AA176" i="2"/>
  <c r="CA129" i="2"/>
  <c r="Y112" i="2"/>
  <c r="BZ108" i="2"/>
  <c r="Y103" i="2"/>
  <c r="BZ99" i="2"/>
  <c r="BC174" i="2"/>
  <c r="BC176" i="2"/>
  <c r="CB169" i="2"/>
  <c r="CB171" i="2"/>
  <c r="CB170" i="2"/>
  <c r="BB152" i="2"/>
  <c r="BB154" i="2"/>
  <c r="BB153" i="2"/>
  <c r="BD78" i="2"/>
  <c r="BC79" i="2"/>
  <c r="BD79" i="2"/>
  <c r="BC80" i="2"/>
  <c r="BD80" i="2"/>
  <c r="BC78" i="2"/>
  <c r="BQ186" i="2"/>
  <c r="L186" i="2"/>
  <c r="CB175" i="2"/>
  <c r="AA175" i="2"/>
  <c r="BB137" i="2"/>
  <c r="BB139" i="2"/>
  <c r="BB138" i="2"/>
  <c r="BB140" i="2"/>
  <c r="Z136" i="2"/>
  <c r="Z138" i="2"/>
  <c r="Z140" i="2"/>
  <c r="Z137" i="2"/>
  <c r="Z139" i="2"/>
  <c r="Z130" i="2"/>
  <c r="Z132" i="2"/>
  <c r="Z131" i="2"/>
  <c r="Z133" i="2"/>
  <c r="BA112" i="2"/>
  <c r="BA113" i="2"/>
  <c r="BA103" i="2"/>
  <c r="BA104" i="2"/>
  <c r="BC169" i="2"/>
  <c r="BC171" i="2"/>
  <c r="AA169" i="2"/>
  <c r="AA171" i="2"/>
  <c r="AA170" i="2"/>
  <c r="Z153" i="2"/>
  <c r="Z155" i="2"/>
  <c r="CA136" i="2"/>
  <c r="CA138" i="2"/>
  <c r="CA140" i="2"/>
  <c r="CA137" i="2"/>
  <c r="CA139" i="2"/>
  <c r="CA130" i="2"/>
  <c r="CA132" i="2"/>
  <c r="CA131" i="2"/>
  <c r="CA133" i="2"/>
  <c r="BB129" i="2"/>
  <c r="BB131" i="2"/>
  <c r="BB133" i="2"/>
  <c r="BB130" i="2"/>
  <c r="BB132" i="2"/>
  <c r="BA108" i="2"/>
  <c r="BA109" i="2"/>
  <c r="CB185" i="2"/>
  <c r="CB187" i="2"/>
  <c r="AA185" i="2"/>
  <c r="AA187" i="2"/>
  <c r="CB181" i="2"/>
  <c r="CB180" i="2"/>
  <c r="AA181" i="2"/>
  <c r="AA180" i="2"/>
  <c r="AO180" i="2"/>
  <c r="L182" i="2"/>
  <c r="BQ174" i="2"/>
  <c r="BQ176" i="2"/>
  <c r="L174" i="2"/>
  <c r="L176" i="2"/>
  <c r="AO175" i="2"/>
  <c r="Z151" i="2"/>
  <c r="BB144" i="2"/>
  <c r="BB145" i="2"/>
  <c r="BB147" i="2"/>
  <c r="BB136" i="2"/>
  <c r="Z129" i="2"/>
  <c r="BZ112" i="2"/>
  <c r="Y108" i="2"/>
  <c r="CA146" i="2"/>
  <c r="CA148" i="2"/>
  <c r="Z146" i="2"/>
  <c r="Z148" i="2"/>
  <c r="CC78" i="2"/>
  <c r="CD78" i="2" s="1"/>
  <c r="CB79" i="2"/>
  <c r="CB80" i="2"/>
  <c r="CC79" i="2"/>
  <c r="CC80" i="2"/>
  <c r="J68" i="2"/>
  <c r="J69" i="2"/>
  <c r="J70" i="2"/>
  <c r="BC180" i="2"/>
  <c r="AO171" i="2"/>
  <c r="BP155" i="2"/>
  <c r="K155" i="2"/>
  <c r="AN154" i="2"/>
  <c r="BP153" i="2"/>
  <c r="K153" i="2"/>
  <c r="AN151" i="2"/>
  <c r="AN145" i="2"/>
  <c r="AN147" i="2"/>
  <c r="BP144" i="2"/>
  <c r="BP146" i="2"/>
  <c r="BP148" i="2"/>
  <c r="K144" i="2"/>
  <c r="BZ75" i="2"/>
  <c r="BB155" i="2"/>
  <c r="Z154" i="2"/>
  <c r="BB151" i="2"/>
  <c r="AN148" i="2"/>
  <c r="BP147" i="2"/>
  <c r="K147" i="2"/>
  <c r="AN146" i="2"/>
  <c r="BP145" i="2"/>
  <c r="CA144" i="2"/>
  <c r="AB78" i="2"/>
  <c r="AB79" i="2"/>
  <c r="AC79" i="2" s="1"/>
  <c r="AA80" i="2"/>
  <c r="AB80" i="2"/>
  <c r="BZ78" i="2"/>
  <c r="BZ79" i="2"/>
  <c r="BA78" i="2"/>
  <c r="BA79" i="2"/>
  <c r="Y78" i="2"/>
  <c r="Y79" i="2"/>
  <c r="AM79" i="2"/>
  <c r="BZ76" i="2"/>
  <c r="BA75" i="2"/>
  <c r="J75" i="2"/>
  <c r="J76" i="2"/>
  <c r="J77" i="2"/>
  <c r="BO65" i="2"/>
  <c r="BO66" i="2"/>
  <c r="BO67" i="2"/>
  <c r="K148" i="2"/>
  <c r="K146" i="2"/>
  <c r="AN140" i="2"/>
  <c r="BP139" i="2"/>
  <c r="K139" i="2"/>
  <c r="AN138" i="2"/>
  <c r="K133" i="2"/>
  <c r="AN132" i="2"/>
  <c r="BP131" i="2"/>
  <c r="BO80" i="2"/>
  <c r="AM80" i="2"/>
  <c r="J80" i="2"/>
  <c r="J79" i="2"/>
  <c r="BZ77" i="2"/>
  <c r="BA76" i="2"/>
  <c r="Y75" i="2"/>
  <c r="BO68" i="2"/>
  <c r="BO69" i="2"/>
  <c r="BO70" i="2"/>
  <c r="AM65" i="2"/>
  <c r="AM66" i="2"/>
  <c r="AM67" i="2"/>
  <c r="Y76" i="2"/>
  <c r="BO75" i="2"/>
  <c r="BO76" i="2"/>
  <c r="BO77" i="2"/>
  <c r="AM68" i="2"/>
  <c r="AM69" i="2"/>
  <c r="AM70" i="2"/>
  <c r="J65" i="2"/>
  <c r="J66" i="2"/>
  <c r="J67" i="2"/>
  <c r="BO55" i="2"/>
  <c r="BO56" i="2"/>
  <c r="BO57" i="2"/>
  <c r="BZ70" i="2"/>
  <c r="BA70" i="2"/>
  <c r="Y70" i="2"/>
  <c r="BZ69" i="2"/>
  <c r="BA69" i="2"/>
  <c r="Y69" i="2"/>
  <c r="BO58" i="2"/>
  <c r="BO59" i="2"/>
  <c r="BO60" i="2"/>
  <c r="AM49" i="2"/>
  <c r="AM50" i="2"/>
  <c r="AM51" i="2"/>
  <c r="Y66" i="2"/>
  <c r="AM58" i="2"/>
  <c r="AM59" i="2"/>
  <c r="AM60" i="2"/>
  <c r="AM56" i="2"/>
  <c r="AM57" i="2"/>
  <c r="BA66" i="2"/>
  <c r="BZ65" i="2"/>
  <c r="BA65" i="2"/>
  <c r="Y65" i="2"/>
  <c r="J58" i="2"/>
  <c r="J59" i="2"/>
  <c r="J60" i="2"/>
  <c r="J56" i="2"/>
  <c r="J57" i="2"/>
  <c r="BA51" i="2"/>
  <c r="BA50" i="2"/>
  <c r="BZ60" i="2"/>
  <c r="BA60" i="2"/>
  <c r="Y60" i="2"/>
  <c r="BZ59" i="2"/>
  <c r="BA59" i="2"/>
  <c r="Y59" i="2"/>
  <c r="AM55" i="2"/>
  <c r="J49" i="2"/>
  <c r="J50" i="2"/>
  <c r="J51" i="2"/>
  <c r="BZ50" i="2"/>
  <c r="BZ49" i="2"/>
  <c r="BA48" i="2"/>
  <c r="Y47" i="2"/>
  <c r="J55" i="2"/>
  <c r="Y50" i="2"/>
  <c r="BZ48" i="2"/>
  <c r="BA47" i="2"/>
  <c r="Y46" i="2"/>
  <c r="BO49" i="2"/>
  <c r="BO50" i="2"/>
  <c r="BO51" i="2"/>
  <c r="AM46" i="2"/>
  <c r="BO48" i="2"/>
  <c r="AM48" i="2"/>
  <c r="J48" i="2"/>
  <c r="BO47" i="2"/>
  <c r="AM47" i="2"/>
  <c r="J47" i="2"/>
  <c r="K26" i="2"/>
  <c r="BP25" i="2"/>
  <c r="AN25" i="2"/>
  <c r="BP24" i="2"/>
  <c r="AN24" i="2"/>
  <c r="K24" i="2"/>
  <c r="L46" i="2" l="1"/>
  <c r="L75" i="2"/>
  <c r="M75" i="2"/>
  <c r="AQ175" i="2"/>
  <c r="AQ131" i="2"/>
  <c r="CB57" i="2"/>
  <c r="CB47" i="2"/>
  <c r="BR103" i="2"/>
  <c r="N140" i="2"/>
  <c r="AP139" i="2"/>
  <c r="AQ147" i="2"/>
  <c r="N132" i="2"/>
  <c r="N153" i="2"/>
  <c r="BT182" i="2"/>
  <c r="AR187" i="2"/>
  <c r="N187" i="2"/>
  <c r="CE175" i="2"/>
  <c r="AP113" i="2"/>
  <c r="AP104" i="2"/>
  <c r="CC104" i="2"/>
  <c r="AP100" i="2"/>
  <c r="AP109" i="2"/>
  <c r="AA56" i="2"/>
  <c r="BR112" i="2"/>
  <c r="BR108" i="2"/>
  <c r="AA46" i="2"/>
  <c r="BC55" i="2"/>
  <c r="BF185" i="2"/>
  <c r="M108" i="2"/>
  <c r="BC48" i="2"/>
  <c r="M99" i="2"/>
  <c r="M103" i="2"/>
  <c r="M112" i="2"/>
  <c r="BS130" i="2"/>
  <c r="BQ48" i="2"/>
  <c r="BR47" i="2"/>
  <c r="L48" i="2"/>
  <c r="AC175" i="2"/>
  <c r="N182" i="2"/>
  <c r="BE185" i="2"/>
  <c r="AB57" i="2"/>
  <c r="BF187" i="2"/>
  <c r="AA51" i="2"/>
  <c r="AC78" i="2"/>
  <c r="BF186" i="2"/>
  <c r="BG186" i="2" s="1"/>
  <c r="BS181" i="2"/>
  <c r="CB56" i="2"/>
  <c r="CB103" i="2"/>
  <c r="AA50" i="2"/>
  <c r="AB55" i="2"/>
  <c r="CB104" i="2"/>
  <c r="AA55" i="2"/>
  <c r="AB51" i="2"/>
  <c r="CC103" i="2"/>
  <c r="AA100" i="2"/>
  <c r="AC100" i="2" s="1"/>
  <c r="BS182" i="2"/>
  <c r="AB99" i="2"/>
  <c r="BT181" i="2"/>
  <c r="AD174" i="2"/>
  <c r="AO100" i="2"/>
  <c r="M47" i="2"/>
  <c r="L47" i="2"/>
  <c r="M48" i="2"/>
  <c r="O187" i="2"/>
  <c r="N186" i="2"/>
  <c r="N154" i="2"/>
  <c r="N185" i="2"/>
  <c r="BR46" i="2"/>
  <c r="CC56" i="2"/>
  <c r="CB46" i="2"/>
  <c r="BQ104" i="2"/>
  <c r="AP147" i="2"/>
  <c r="BR155" i="2"/>
  <c r="BS186" i="2"/>
  <c r="L104" i="2"/>
  <c r="AQ144" i="2"/>
  <c r="BS152" i="2"/>
  <c r="BS153" i="2"/>
  <c r="BR131" i="2"/>
  <c r="AP148" i="2"/>
  <c r="BS171" i="2"/>
  <c r="AQ145" i="2"/>
  <c r="CC47" i="2"/>
  <c r="CD47" i="2" s="1"/>
  <c r="BQ99" i="2"/>
  <c r="BS99" i="2" s="1"/>
  <c r="AP137" i="2"/>
  <c r="CD175" i="2"/>
  <c r="BR100" i="2"/>
  <c r="L103" i="2"/>
  <c r="L112" i="2"/>
  <c r="AP131" i="2"/>
  <c r="M104" i="2"/>
  <c r="M113" i="2"/>
  <c r="BR138" i="2"/>
  <c r="AC146" i="2"/>
  <c r="BT169" i="2"/>
  <c r="O181" i="2"/>
  <c r="CC46" i="2"/>
  <c r="BC57" i="2"/>
  <c r="BQ108" i="2"/>
  <c r="BR132" i="2"/>
  <c r="AP129" i="2"/>
  <c r="AP145" i="2"/>
  <c r="AR145" i="2" s="1"/>
  <c r="AP144" i="2"/>
  <c r="AC147" i="2"/>
  <c r="AD147" i="2" s="1"/>
  <c r="N181" i="2"/>
  <c r="CB48" i="2"/>
  <c r="AB50" i="2"/>
  <c r="AA49" i="2"/>
  <c r="AC49" i="2" s="1"/>
  <c r="AB56" i="2"/>
  <c r="BR109" i="2"/>
  <c r="N130" i="2"/>
  <c r="AP138" i="2"/>
  <c r="AO99" i="2"/>
  <c r="N138" i="2"/>
  <c r="AQ148" i="2"/>
  <c r="AA99" i="2"/>
  <c r="AB145" i="2"/>
  <c r="O185" i="2"/>
  <c r="AC174" i="2"/>
  <c r="CC48" i="2"/>
  <c r="AA57" i="2"/>
  <c r="AC57" i="2" s="1"/>
  <c r="BQ47" i="2"/>
  <c r="CC57" i="2"/>
  <c r="BQ109" i="2"/>
  <c r="BR133" i="2"/>
  <c r="AP136" i="2"/>
  <c r="AP146" i="2"/>
  <c r="AQ133" i="2"/>
  <c r="AQ146" i="2"/>
  <c r="BE187" i="2"/>
  <c r="BG187" i="2" s="1"/>
  <c r="AC148" i="2"/>
  <c r="AC144" i="2"/>
  <c r="O182" i="2"/>
  <c r="O186" i="2"/>
  <c r="AD176" i="2"/>
  <c r="AP103" i="2"/>
  <c r="AQ174" i="2"/>
  <c r="AP112" i="2"/>
  <c r="AO112" i="2"/>
  <c r="BD48" i="2"/>
  <c r="AO103" i="2"/>
  <c r="BR153" i="2"/>
  <c r="BR154" i="2"/>
  <c r="AR176" i="2"/>
  <c r="BE79" i="2"/>
  <c r="BT185" i="2"/>
  <c r="BU185" i="2" s="1"/>
  <c r="CE176" i="2"/>
  <c r="BR48" i="2"/>
  <c r="BQ46" i="2"/>
  <c r="BS155" i="2"/>
  <c r="BC47" i="2"/>
  <c r="L99" i="2"/>
  <c r="BQ100" i="2"/>
  <c r="BQ103" i="2"/>
  <c r="L113" i="2"/>
  <c r="AO109" i="2"/>
  <c r="AR175" i="2"/>
  <c r="BR151" i="2"/>
  <c r="BT151" i="2" s="1"/>
  <c r="BR152" i="2"/>
  <c r="AR174" i="2"/>
  <c r="BS170" i="2"/>
  <c r="BU170" i="2" s="1"/>
  <c r="BS169" i="2"/>
  <c r="BT186" i="2"/>
  <c r="BS187" i="2"/>
  <c r="CD176" i="2"/>
  <c r="CE174" i="2"/>
  <c r="BD55" i="2"/>
  <c r="M100" i="2"/>
  <c r="BR104" i="2"/>
  <c r="BQ113" i="2"/>
  <c r="AO104" i="2"/>
  <c r="AO113" i="2"/>
  <c r="AB144" i="2"/>
  <c r="BS154" i="2"/>
  <c r="AQ176" i="2"/>
  <c r="AR185" i="2"/>
  <c r="BT171" i="2"/>
  <c r="BT187" i="2"/>
  <c r="CD174" i="2"/>
  <c r="AC176" i="2"/>
  <c r="M132" i="2"/>
  <c r="N152" i="2"/>
  <c r="N170" i="2"/>
  <c r="P170" i="2" s="1"/>
  <c r="L100" i="2"/>
  <c r="N151" i="2"/>
  <c r="O169" i="2"/>
  <c r="M133" i="2"/>
  <c r="M131" i="2"/>
  <c r="M136" i="2"/>
  <c r="M151" i="2"/>
  <c r="N155" i="2"/>
  <c r="N171" i="2"/>
  <c r="M138" i="2"/>
  <c r="M155" i="2"/>
  <c r="M152" i="2"/>
  <c r="N169" i="2"/>
  <c r="BS137" i="2"/>
  <c r="BS139" i="2"/>
  <c r="AR169" i="2"/>
  <c r="AR171" i="2"/>
  <c r="BD47" i="2"/>
  <c r="BC46" i="2"/>
  <c r="CC50" i="2"/>
  <c r="L108" i="2"/>
  <c r="AP108" i="2"/>
  <c r="BS138" i="2"/>
  <c r="BR136" i="2"/>
  <c r="AQ171" i="2"/>
  <c r="BS131" i="2"/>
  <c r="BS129" i="2"/>
  <c r="BS133" i="2"/>
  <c r="N137" i="2"/>
  <c r="N139" i="2"/>
  <c r="AQ130" i="2"/>
  <c r="AQ132" i="2"/>
  <c r="AQ136" i="2"/>
  <c r="AQ138" i="2"/>
  <c r="AQ140" i="2"/>
  <c r="BD46" i="2"/>
  <c r="BD57" i="2"/>
  <c r="BC56" i="2"/>
  <c r="CB50" i="2"/>
  <c r="M109" i="2"/>
  <c r="BQ112" i="2"/>
  <c r="BR129" i="2"/>
  <c r="BR130" i="2"/>
  <c r="AQ139" i="2"/>
  <c r="AO108" i="2"/>
  <c r="AP132" i="2"/>
  <c r="AQ129" i="2"/>
  <c r="M139" i="2"/>
  <c r="N136" i="2"/>
  <c r="BR139" i="2"/>
  <c r="BS136" i="2"/>
  <c r="AB148" i="2"/>
  <c r="AC145" i="2"/>
  <c r="AQ169" i="2"/>
  <c r="AR186" i="2"/>
  <c r="AD175" i="2"/>
  <c r="N129" i="2"/>
  <c r="N131" i="2"/>
  <c r="N133" i="2"/>
  <c r="BD56" i="2"/>
  <c r="CB49" i="2"/>
  <c r="CB55" i="2"/>
  <c r="L109" i="2"/>
  <c r="BR113" i="2"/>
  <c r="M129" i="2"/>
  <c r="M130" i="2"/>
  <c r="BS132" i="2"/>
  <c r="AP140" i="2"/>
  <c r="AQ137" i="2"/>
  <c r="CD80" i="2"/>
  <c r="AP99" i="2"/>
  <c r="AP130" i="2"/>
  <c r="AP133" i="2"/>
  <c r="M137" i="2"/>
  <c r="M140" i="2"/>
  <c r="BR137" i="2"/>
  <c r="BR140" i="2"/>
  <c r="BT140" i="2" s="1"/>
  <c r="AQ185" i="2"/>
  <c r="AQ187" i="2"/>
  <c r="AB146" i="2"/>
  <c r="M153" i="2"/>
  <c r="M154" i="2"/>
  <c r="AR170" i="2"/>
  <c r="AS170" i="2" s="1"/>
  <c r="AQ186" i="2"/>
  <c r="O171" i="2"/>
  <c r="CC55" i="2"/>
  <c r="CC49" i="2"/>
  <c r="CC51" i="2"/>
  <c r="CD51" i="2" s="1"/>
  <c r="BD65" i="2"/>
  <c r="BD66" i="2"/>
  <c r="BC67" i="2"/>
  <c r="BD67" i="2"/>
  <c r="BC65" i="2"/>
  <c r="BC66" i="2"/>
  <c r="AA75" i="2"/>
  <c r="AA76" i="2"/>
  <c r="AA77" i="2"/>
  <c r="AB75" i="2"/>
  <c r="AB76" i="2"/>
  <c r="AB77" i="2"/>
  <c r="BD144" i="2"/>
  <c r="BD146" i="2"/>
  <c r="BD148" i="2"/>
  <c r="BE144" i="2"/>
  <c r="BE146" i="2"/>
  <c r="BE148" i="2"/>
  <c r="BD145" i="2"/>
  <c r="BD147" i="2"/>
  <c r="BE145" i="2"/>
  <c r="BE147" i="2"/>
  <c r="AD186" i="2"/>
  <c r="AC185" i="2"/>
  <c r="AC186" i="2"/>
  <c r="AD187" i="2"/>
  <c r="AD185" i="2"/>
  <c r="AC187" i="2"/>
  <c r="BF175" i="2"/>
  <c r="BE174" i="2"/>
  <c r="BE176" i="2"/>
  <c r="BF174" i="2"/>
  <c r="BF176" i="2"/>
  <c r="BE175" i="2"/>
  <c r="AP46" i="2"/>
  <c r="AP47" i="2"/>
  <c r="AP48" i="2"/>
  <c r="AO48" i="2"/>
  <c r="AO46" i="2"/>
  <c r="AO47" i="2"/>
  <c r="AO55" i="2"/>
  <c r="AP55" i="2"/>
  <c r="AO56" i="2"/>
  <c r="AO57" i="2"/>
  <c r="AP57" i="2"/>
  <c r="AP56" i="2"/>
  <c r="AA58" i="2"/>
  <c r="AA59" i="2"/>
  <c r="AA60" i="2"/>
  <c r="AB58" i="2"/>
  <c r="AB59" i="2"/>
  <c r="AB60" i="2"/>
  <c r="CC65" i="2"/>
  <c r="CB66" i="2"/>
  <c r="CB67" i="2"/>
  <c r="CC66" i="2"/>
  <c r="CC67" i="2"/>
  <c r="CB65" i="2"/>
  <c r="AP49" i="2"/>
  <c r="AO49" i="2"/>
  <c r="AO51" i="2"/>
  <c r="AO50" i="2"/>
  <c r="AP51" i="2"/>
  <c r="AP50" i="2"/>
  <c r="AA68" i="2"/>
  <c r="AA69" i="2"/>
  <c r="AA70" i="2"/>
  <c r="AB68" i="2"/>
  <c r="AB69" i="2"/>
  <c r="AB70" i="2"/>
  <c r="L65" i="2"/>
  <c r="L66" i="2"/>
  <c r="M65" i="2"/>
  <c r="M66" i="2"/>
  <c r="L67" i="2"/>
  <c r="M67" i="2"/>
  <c r="BQ68" i="2"/>
  <c r="BQ69" i="2"/>
  <c r="BQ70" i="2"/>
  <c r="BR69" i="2"/>
  <c r="BR68" i="2"/>
  <c r="BR70" i="2"/>
  <c r="AO78" i="2"/>
  <c r="AO79" i="2"/>
  <c r="AP79" i="2"/>
  <c r="AP80" i="2"/>
  <c r="AO80" i="2"/>
  <c r="AP78" i="2"/>
  <c r="AC80" i="2"/>
  <c r="CB75" i="2"/>
  <c r="CB76" i="2"/>
  <c r="CC75" i="2"/>
  <c r="CC76" i="2"/>
  <c r="CC77" i="2"/>
  <c r="CB77" i="2"/>
  <c r="CD79" i="2"/>
  <c r="BE136" i="2"/>
  <c r="BE138" i="2"/>
  <c r="BE140" i="2"/>
  <c r="BD137" i="2"/>
  <c r="BD139" i="2"/>
  <c r="BE137" i="2"/>
  <c r="BE139" i="2"/>
  <c r="BD136" i="2"/>
  <c r="BD138" i="2"/>
  <c r="BD140" i="2"/>
  <c r="AB151" i="2"/>
  <c r="AC151" i="2"/>
  <c r="AC153" i="2"/>
  <c r="AC155" i="2"/>
  <c r="AB152" i="2"/>
  <c r="AB154" i="2"/>
  <c r="AC152" i="2"/>
  <c r="AC154" i="2"/>
  <c r="AB153" i="2"/>
  <c r="AB155" i="2"/>
  <c r="AQ182" i="2"/>
  <c r="AR182" i="2"/>
  <c r="AQ181" i="2"/>
  <c r="AR181" i="2"/>
  <c r="BD109" i="2"/>
  <c r="BC108" i="2"/>
  <c r="BD108" i="2"/>
  <c r="BC109" i="2"/>
  <c r="AC137" i="2"/>
  <c r="AC139" i="2"/>
  <c r="AB136" i="2"/>
  <c r="AB138" i="2"/>
  <c r="AB140" i="2"/>
  <c r="AC136" i="2"/>
  <c r="AC138" i="2"/>
  <c r="AC140" i="2"/>
  <c r="AB137" i="2"/>
  <c r="AB139" i="2"/>
  <c r="AD139" i="2" s="1"/>
  <c r="BE80" i="2"/>
  <c r="CC108" i="2"/>
  <c r="CB109" i="2"/>
  <c r="CC109" i="2"/>
  <c r="CB108" i="2"/>
  <c r="BD100" i="2"/>
  <c r="BC99" i="2"/>
  <c r="BD99" i="2"/>
  <c r="BC100" i="2"/>
  <c r="AO65" i="2"/>
  <c r="AO66" i="2"/>
  <c r="AP65" i="2"/>
  <c r="AP66" i="2"/>
  <c r="AO67" i="2"/>
  <c r="AP67" i="2"/>
  <c r="L78" i="2"/>
  <c r="L79" i="2"/>
  <c r="M80" i="2"/>
  <c r="M78" i="2"/>
  <c r="M79" i="2"/>
  <c r="L80" i="2"/>
  <c r="CC145" i="2"/>
  <c r="CC147" i="2"/>
  <c r="CD145" i="2"/>
  <c r="CD147" i="2"/>
  <c r="CC144" i="2"/>
  <c r="CC146" i="2"/>
  <c r="CC148" i="2"/>
  <c r="CD144" i="2"/>
  <c r="CD146" i="2"/>
  <c r="CD148" i="2"/>
  <c r="AC129" i="2"/>
  <c r="AC131" i="2"/>
  <c r="AC133" i="2"/>
  <c r="AB130" i="2"/>
  <c r="AB132" i="2"/>
  <c r="AC130" i="2"/>
  <c r="AC132" i="2"/>
  <c r="AB129" i="2"/>
  <c r="AB131" i="2"/>
  <c r="AB133" i="2"/>
  <c r="N175" i="2"/>
  <c r="O175" i="2"/>
  <c r="O174" i="2"/>
  <c r="O176" i="2"/>
  <c r="N176" i="2"/>
  <c r="N174" i="2"/>
  <c r="CE182" i="2"/>
  <c r="CD181" i="2"/>
  <c r="CD182" i="2"/>
  <c r="CE181" i="2"/>
  <c r="CE186" i="2"/>
  <c r="CD185" i="2"/>
  <c r="CD186" i="2"/>
  <c r="CE187" i="2"/>
  <c r="CE185" i="2"/>
  <c r="CD187" i="2"/>
  <c r="AD170" i="2"/>
  <c r="AC169" i="2"/>
  <c r="AC171" i="2"/>
  <c r="AD169" i="2"/>
  <c r="AD171" i="2"/>
  <c r="AC170" i="2"/>
  <c r="BD113" i="2"/>
  <c r="BC112" i="2"/>
  <c r="BD112" i="2"/>
  <c r="BC113" i="2"/>
  <c r="AB103" i="2"/>
  <c r="AA104" i="2"/>
  <c r="AB104" i="2"/>
  <c r="AA103" i="2"/>
  <c r="BR49" i="2"/>
  <c r="BQ49" i="2"/>
  <c r="BR50" i="2"/>
  <c r="BQ51" i="2"/>
  <c r="BR51" i="2"/>
  <c r="BQ50" i="2"/>
  <c r="AA47" i="2"/>
  <c r="AA48" i="2"/>
  <c r="AB46" i="2"/>
  <c r="AB47" i="2"/>
  <c r="AB48" i="2"/>
  <c r="M55" i="2"/>
  <c r="L56" i="2"/>
  <c r="L57" i="2"/>
  <c r="M57" i="2"/>
  <c r="M56" i="2"/>
  <c r="L55" i="2"/>
  <c r="M49" i="2"/>
  <c r="M50" i="2"/>
  <c r="L51" i="2"/>
  <c r="M51" i="2"/>
  <c r="L49" i="2"/>
  <c r="L50" i="2"/>
  <c r="BC58" i="2"/>
  <c r="BC59" i="2"/>
  <c r="BC60" i="2"/>
  <c r="BD58" i="2"/>
  <c r="BD59" i="2"/>
  <c r="BD60" i="2"/>
  <c r="BC49" i="2"/>
  <c r="BC50" i="2"/>
  <c r="BC51" i="2"/>
  <c r="BD49" i="2"/>
  <c r="BD51" i="2"/>
  <c r="BD50" i="2"/>
  <c r="BC68" i="2"/>
  <c r="BC69" i="2"/>
  <c r="BC70" i="2"/>
  <c r="BD68" i="2"/>
  <c r="BD69" i="2"/>
  <c r="BD70" i="2"/>
  <c r="BQ55" i="2"/>
  <c r="BQ56" i="2"/>
  <c r="BQ57" i="2"/>
  <c r="BR56" i="2"/>
  <c r="BR55" i="2"/>
  <c r="BR57" i="2"/>
  <c r="AO68" i="2"/>
  <c r="AO69" i="2"/>
  <c r="AO70" i="2"/>
  <c r="AP68" i="2"/>
  <c r="AP70" i="2"/>
  <c r="AP69" i="2"/>
  <c r="BQ78" i="2"/>
  <c r="BQ79" i="2"/>
  <c r="BR80" i="2"/>
  <c r="BR79" i="2"/>
  <c r="BR78" i="2"/>
  <c r="BQ80" i="2"/>
  <c r="L76" i="2"/>
  <c r="L77" i="2"/>
  <c r="M77" i="2"/>
  <c r="M76" i="2"/>
  <c r="BE152" i="2"/>
  <c r="BE154" i="2"/>
  <c r="BD151" i="2"/>
  <c r="BD153" i="2"/>
  <c r="BD155" i="2"/>
  <c r="BE151" i="2"/>
  <c r="BE153" i="2"/>
  <c r="BE155" i="2"/>
  <c r="BD152" i="2"/>
  <c r="BD154" i="2"/>
  <c r="BS145" i="2"/>
  <c r="BS147" i="2"/>
  <c r="BR144" i="2"/>
  <c r="BR146" i="2"/>
  <c r="BR148" i="2"/>
  <c r="BR145" i="2"/>
  <c r="BR147" i="2"/>
  <c r="BS144" i="2"/>
  <c r="BS146" i="2"/>
  <c r="BS148" i="2"/>
  <c r="BF181" i="2"/>
  <c r="BE182" i="2"/>
  <c r="BE181" i="2"/>
  <c r="BF182" i="2"/>
  <c r="AB108" i="2"/>
  <c r="AA109" i="2"/>
  <c r="AB109" i="2"/>
  <c r="AA108" i="2"/>
  <c r="AD182" i="2"/>
  <c r="AC181" i="2"/>
  <c r="AC182" i="2"/>
  <c r="AD181" i="2"/>
  <c r="BE130" i="2"/>
  <c r="BE132" i="2"/>
  <c r="BD129" i="2"/>
  <c r="BD131" i="2"/>
  <c r="BD133" i="2"/>
  <c r="BE129" i="2"/>
  <c r="BE131" i="2"/>
  <c r="BE133" i="2"/>
  <c r="BD130" i="2"/>
  <c r="BD132" i="2"/>
  <c r="BF169" i="2"/>
  <c r="BF171" i="2"/>
  <c r="BE170" i="2"/>
  <c r="BF170" i="2"/>
  <c r="BE169" i="2"/>
  <c r="BE171" i="2"/>
  <c r="BD104" i="2"/>
  <c r="BC103" i="2"/>
  <c r="BD103" i="2"/>
  <c r="BC104" i="2"/>
  <c r="CE170" i="2"/>
  <c r="CD169" i="2"/>
  <c r="CD171" i="2"/>
  <c r="CE169" i="2"/>
  <c r="CD170" i="2"/>
  <c r="CE171" i="2"/>
  <c r="AB112" i="2"/>
  <c r="AA113" i="2"/>
  <c r="AB113" i="2"/>
  <c r="AA112" i="2"/>
  <c r="CD151" i="2"/>
  <c r="CD153" i="2"/>
  <c r="CD155" i="2"/>
  <c r="CC152" i="2"/>
  <c r="CC154" i="2"/>
  <c r="CD152" i="2"/>
  <c r="CD154" i="2"/>
  <c r="CC151" i="2"/>
  <c r="CC153" i="2"/>
  <c r="CC155" i="2"/>
  <c r="L58" i="2"/>
  <c r="L59" i="2"/>
  <c r="L60" i="2"/>
  <c r="M58" i="2"/>
  <c r="M60" i="2"/>
  <c r="M59" i="2"/>
  <c r="AO58" i="2"/>
  <c r="AO59" i="2"/>
  <c r="AO60" i="2"/>
  <c r="AP59" i="2"/>
  <c r="AP58" i="2"/>
  <c r="AP60" i="2"/>
  <c r="CB58" i="2"/>
  <c r="CB59" i="2"/>
  <c r="CB60" i="2"/>
  <c r="CC58" i="2"/>
  <c r="CC59" i="2"/>
  <c r="CC60" i="2"/>
  <c r="AB65" i="2"/>
  <c r="AB66" i="2"/>
  <c r="AA67" i="2"/>
  <c r="AB67" i="2"/>
  <c r="AA65" i="2"/>
  <c r="AA66" i="2"/>
  <c r="BQ58" i="2"/>
  <c r="BQ59" i="2"/>
  <c r="BQ60" i="2"/>
  <c r="BR60" i="2"/>
  <c r="BR59" i="2"/>
  <c r="BR58" i="2"/>
  <c r="CB68" i="2"/>
  <c r="CB69" i="2"/>
  <c r="CB70" i="2"/>
  <c r="CC68" i="2"/>
  <c r="CC69" i="2"/>
  <c r="CC70" i="2"/>
  <c r="BQ75" i="2"/>
  <c r="BQ76" i="2"/>
  <c r="BQ77" i="2"/>
  <c r="BR77" i="2"/>
  <c r="BR76" i="2"/>
  <c r="BR75" i="2"/>
  <c r="BQ65" i="2"/>
  <c r="BR65" i="2"/>
  <c r="BQ66" i="2"/>
  <c r="BQ67" i="2"/>
  <c r="BR67" i="2"/>
  <c r="BR66" i="2"/>
  <c r="BC75" i="2"/>
  <c r="BC76" i="2"/>
  <c r="BC77" i="2"/>
  <c r="BD75" i="2"/>
  <c r="BD76" i="2"/>
  <c r="BD77" i="2"/>
  <c r="N145" i="2"/>
  <c r="N147" i="2"/>
  <c r="M144" i="2"/>
  <c r="M146" i="2"/>
  <c r="M148" i="2"/>
  <c r="M145" i="2"/>
  <c r="M147" i="2"/>
  <c r="N144" i="2"/>
  <c r="N146" i="2"/>
  <c r="N148" i="2"/>
  <c r="AP151" i="2"/>
  <c r="AP153" i="2"/>
  <c r="AP155" i="2"/>
  <c r="AQ153" i="2"/>
  <c r="AQ155" i="2"/>
  <c r="AQ151" i="2"/>
  <c r="AP152" i="2"/>
  <c r="AP154" i="2"/>
  <c r="AQ152" i="2"/>
  <c r="AQ154" i="2"/>
  <c r="L68" i="2"/>
  <c r="L69" i="2"/>
  <c r="L70" i="2"/>
  <c r="M70" i="2"/>
  <c r="M69" i="2"/>
  <c r="M68" i="2"/>
  <c r="CC112" i="2"/>
  <c r="CB113" i="2"/>
  <c r="CC113" i="2"/>
  <c r="CB112" i="2"/>
  <c r="BS175" i="2"/>
  <c r="BT175" i="2"/>
  <c r="BT174" i="2"/>
  <c r="BT176" i="2"/>
  <c r="BS176" i="2"/>
  <c r="BS174" i="2"/>
  <c r="CD137" i="2"/>
  <c r="CD139" i="2"/>
  <c r="CC136" i="2"/>
  <c r="CC138" i="2"/>
  <c r="CC140" i="2"/>
  <c r="CD136" i="2"/>
  <c r="CD138" i="2"/>
  <c r="CD140" i="2"/>
  <c r="CC137" i="2"/>
  <c r="CC139" i="2"/>
  <c r="BE78" i="2"/>
  <c r="CC99" i="2"/>
  <c r="CB100" i="2"/>
  <c r="CC100" i="2"/>
  <c r="CB99" i="2"/>
  <c r="CD129" i="2"/>
  <c r="CD131" i="2"/>
  <c r="CD133" i="2"/>
  <c r="CC130" i="2"/>
  <c r="CC132" i="2"/>
  <c r="CD130" i="2"/>
  <c r="CD132" i="2"/>
  <c r="CC129" i="2"/>
  <c r="CC131" i="2"/>
  <c r="CC133" i="2"/>
  <c r="AO75" i="2"/>
  <c r="AO76" i="2"/>
  <c r="AO77" i="2"/>
  <c r="AP76" i="2"/>
  <c r="AP75" i="2"/>
  <c r="AP77" i="2"/>
  <c r="N103" i="2" l="1"/>
  <c r="AC47" i="2"/>
  <c r="AS175" i="2"/>
  <c r="N75" i="2"/>
  <c r="AR131" i="2"/>
  <c r="CD57" i="2"/>
  <c r="O140" i="2"/>
  <c r="BS103" i="2"/>
  <c r="AE174" i="2"/>
  <c r="O132" i="2"/>
  <c r="AS187" i="2"/>
  <c r="AR147" i="2"/>
  <c r="O153" i="2"/>
  <c r="N108" i="2"/>
  <c r="AR139" i="2"/>
  <c r="BF152" i="2"/>
  <c r="P187" i="2"/>
  <c r="BG185" i="2"/>
  <c r="BU182" i="2"/>
  <c r="CF175" i="2"/>
  <c r="BF132" i="2"/>
  <c r="AQ104" i="2"/>
  <c r="AC56" i="2"/>
  <c r="AQ113" i="2"/>
  <c r="CD104" i="2"/>
  <c r="AQ109" i="2"/>
  <c r="AQ100" i="2"/>
  <c r="BS112" i="2"/>
  <c r="BS108" i="2"/>
  <c r="BU181" i="2"/>
  <c r="BE55" i="2"/>
  <c r="BS48" i="2"/>
  <c r="AQ47" i="2"/>
  <c r="BT130" i="2"/>
  <c r="BE66" i="2"/>
  <c r="BE48" i="2"/>
  <c r="AS174" i="2"/>
  <c r="N113" i="2"/>
  <c r="N112" i="2"/>
  <c r="N99" i="2"/>
  <c r="AE175" i="2"/>
  <c r="CD103" i="2"/>
  <c r="AC66" i="2"/>
  <c r="AE176" i="2"/>
  <c r="BE65" i="2"/>
  <c r="P182" i="2"/>
  <c r="N104" i="2"/>
  <c r="AQ46" i="2"/>
  <c r="BT152" i="2"/>
  <c r="CD56" i="2"/>
  <c r="AC51" i="2"/>
  <c r="BF154" i="2"/>
  <c r="AC50" i="2"/>
  <c r="N100" i="2"/>
  <c r="AC55" i="2"/>
  <c r="BS100" i="2"/>
  <c r="BS46" i="2"/>
  <c r="CF170" i="2"/>
  <c r="CE137" i="2"/>
  <c r="AC65" i="2"/>
  <c r="CE139" i="2"/>
  <c r="AC99" i="2"/>
  <c r="AQ108" i="2"/>
  <c r="CF176" i="2"/>
  <c r="BT153" i="2"/>
  <c r="BU186" i="2"/>
  <c r="AR144" i="2"/>
  <c r="P186" i="2"/>
  <c r="P185" i="2"/>
  <c r="O154" i="2"/>
  <c r="O138" i="2"/>
  <c r="CD49" i="2"/>
  <c r="O130" i="2"/>
  <c r="BS104" i="2"/>
  <c r="BU169" i="2"/>
  <c r="CD46" i="2"/>
  <c r="BF130" i="2"/>
  <c r="BT132" i="2"/>
  <c r="BT131" i="2"/>
  <c r="AR146" i="2"/>
  <c r="P181" i="2"/>
  <c r="AD148" i="2"/>
  <c r="O152" i="2"/>
  <c r="BU171" i="2"/>
  <c r="AR148" i="2"/>
  <c r="N109" i="2"/>
  <c r="BT138" i="2"/>
  <c r="AC58" i="2"/>
  <c r="AR137" i="2"/>
  <c r="BT155" i="2"/>
  <c r="P171" i="2"/>
  <c r="BT133" i="2"/>
  <c r="AQ103" i="2"/>
  <c r="AD137" i="2"/>
  <c r="CD59" i="2"/>
  <c r="AD144" i="2"/>
  <c r="AD138" i="2"/>
  <c r="AC75" i="2"/>
  <c r="O139" i="2"/>
  <c r="BT136" i="2"/>
  <c r="BT154" i="2"/>
  <c r="CD48" i="2"/>
  <c r="BU187" i="2"/>
  <c r="AE182" i="2"/>
  <c r="BS109" i="2"/>
  <c r="CD55" i="2"/>
  <c r="AD146" i="2"/>
  <c r="O136" i="2"/>
  <c r="BS47" i="2"/>
  <c r="CE138" i="2"/>
  <c r="BS76" i="2"/>
  <c r="BS59" i="2"/>
  <c r="AE170" i="2"/>
  <c r="CE146" i="2"/>
  <c r="AQ99" i="2"/>
  <c r="AD145" i="2"/>
  <c r="AR129" i="2"/>
  <c r="BE57" i="2"/>
  <c r="AR136" i="2"/>
  <c r="O155" i="2"/>
  <c r="O151" i="2"/>
  <c r="AS176" i="2"/>
  <c r="O137" i="2"/>
  <c r="AE169" i="2"/>
  <c r="AD130" i="2"/>
  <c r="CE147" i="2"/>
  <c r="AQ66" i="2"/>
  <c r="AR133" i="2"/>
  <c r="CD50" i="2"/>
  <c r="CD58" i="2"/>
  <c r="AQ60" i="2"/>
  <c r="BT147" i="2"/>
  <c r="AC46" i="2"/>
  <c r="CE144" i="2"/>
  <c r="AC68" i="2"/>
  <c r="AQ50" i="2"/>
  <c r="BS113" i="2"/>
  <c r="AR138" i="2"/>
  <c r="AQ77" i="2"/>
  <c r="AQ48" i="2"/>
  <c r="AQ112" i="2"/>
  <c r="AS185" i="2"/>
  <c r="AR140" i="2"/>
  <c r="AQ56" i="2"/>
  <c r="BE76" i="2"/>
  <c r="BE47" i="2"/>
  <c r="BG175" i="2"/>
  <c r="BF129" i="2"/>
  <c r="BE60" i="2"/>
  <c r="BE46" i="2"/>
  <c r="BF153" i="2"/>
  <c r="BE69" i="2"/>
  <c r="BG176" i="2"/>
  <c r="BF145" i="2"/>
  <c r="BF148" i="2"/>
  <c r="BE67" i="2"/>
  <c r="AC103" i="2"/>
  <c r="O133" i="2"/>
  <c r="AR153" i="2"/>
  <c r="CF186" i="2"/>
  <c r="CF182" i="2"/>
  <c r="CE145" i="2"/>
  <c r="AQ65" i="2"/>
  <c r="AS186" i="2"/>
  <c r="AS169" i="2"/>
  <c r="CF174" i="2"/>
  <c r="BS51" i="2"/>
  <c r="AD129" i="2"/>
  <c r="CD109" i="2"/>
  <c r="CE132" i="2"/>
  <c r="CE136" i="2"/>
  <c r="BU176" i="2"/>
  <c r="O147" i="2"/>
  <c r="BS66" i="2"/>
  <c r="CD70" i="2"/>
  <c r="AQ68" i="2"/>
  <c r="BS57" i="2"/>
  <c r="N55" i="2"/>
  <c r="N56" i="2"/>
  <c r="J13" i="2" s="1" a="1"/>
  <c r="J13" i="2" s="1"/>
  <c r="BS49" i="2"/>
  <c r="CF185" i="2"/>
  <c r="N79" i="2"/>
  <c r="CD77" i="2"/>
  <c r="AQ80" i="2"/>
  <c r="BS70" i="2"/>
  <c r="P169" i="2"/>
  <c r="BG169" i="2"/>
  <c r="BE113" i="2"/>
  <c r="BE99" i="2"/>
  <c r="BG171" i="2"/>
  <c r="BE51" i="2"/>
  <c r="BE75" i="2"/>
  <c r="BG182" i="2"/>
  <c r="BF151" i="2"/>
  <c r="BE68" i="2"/>
  <c r="BE59" i="2"/>
  <c r="BE108" i="2"/>
  <c r="BF140" i="2"/>
  <c r="N50" i="2"/>
  <c r="N49" i="2"/>
  <c r="O131" i="2"/>
  <c r="N58" i="2"/>
  <c r="P174" i="2"/>
  <c r="P176" i="2"/>
  <c r="BS68" i="2"/>
  <c r="CE131" i="2"/>
  <c r="BU174" i="2"/>
  <c r="CD113" i="2"/>
  <c r="O146" i="2"/>
  <c r="BS67" i="2"/>
  <c r="AC67" i="2"/>
  <c r="N59" i="2"/>
  <c r="CE155" i="2"/>
  <c r="BT146" i="2"/>
  <c r="AQ76" i="2"/>
  <c r="CE130" i="2"/>
  <c r="CE154" i="2"/>
  <c r="AE181" i="2"/>
  <c r="N80" i="2"/>
  <c r="BE100" i="2"/>
  <c r="BE109" i="2"/>
  <c r="BF136" i="2"/>
  <c r="AQ78" i="2"/>
  <c r="N67" i="2"/>
  <c r="BT139" i="2"/>
  <c r="AR132" i="2"/>
  <c r="BT129" i="2"/>
  <c r="BE56" i="2"/>
  <c r="N69" i="2"/>
  <c r="O145" i="2"/>
  <c r="CD69" i="2"/>
  <c r="CF171" i="2"/>
  <c r="BF133" i="2"/>
  <c r="BT145" i="2"/>
  <c r="AD153" i="2"/>
  <c r="AD152" i="2"/>
  <c r="BS69" i="2"/>
  <c r="AQ57" i="2"/>
  <c r="AE187" i="2"/>
  <c r="BF147" i="2"/>
  <c r="BT137" i="2"/>
  <c r="AR130" i="2"/>
  <c r="O129" i="2"/>
  <c r="AS171" i="2"/>
  <c r="CD108" i="2"/>
  <c r="CD75" i="2"/>
  <c r="CD66" i="2"/>
  <c r="BU175" i="2"/>
  <c r="AR151" i="2"/>
  <c r="BT144" i="2"/>
  <c r="N57" i="2"/>
  <c r="P175" i="2"/>
  <c r="AQ67" i="2"/>
  <c r="AD140" i="2"/>
  <c r="AS182" i="2"/>
  <c r="BF138" i="2"/>
  <c r="BF139" i="2"/>
  <c r="AQ79" i="2"/>
  <c r="N66" i="2"/>
  <c r="AQ51" i="2"/>
  <c r="N48" i="2"/>
  <c r="BG174" i="2"/>
  <c r="BF146" i="2"/>
  <c r="AQ69" i="2"/>
  <c r="CE129" i="2"/>
  <c r="CD99" i="2"/>
  <c r="N70" i="2"/>
  <c r="O144" i="2"/>
  <c r="BS75" i="2"/>
  <c r="CE153" i="2"/>
  <c r="AC113" i="2"/>
  <c r="BE103" i="2"/>
  <c r="AC109" i="2"/>
  <c r="AQ75" i="2"/>
  <c r="CD112" i="2"/>
  <c r="AR154" i="2"/>
  <c r="AQ59" i="2"/>
  <c r="CE151" i="2"/>
  <c r="CE152" i="2"/>
  <c r="BG170" i="2"/>
  <c r="BS80" i="2"/>
  <c r="BS79" i="2"/>
  <c r="BS56" i="2"/>
  <c r="BE50" i="2"/>
  <c r="BS50" i="2"/>
  <c r="AC104" i="2"/>
  <c r="BE112" i="2"/>
  <c r="CF187" i="2"/>
  <c r="CF181" i="2"/>
  <c r="AD133" i="2"/>
  <c r="AD155" i="2"/>
  <c r="AD154" i="2"/>
  <c r="BF137" i="2"/>
  <c r="CD76" i="2"/>
  <c r="N65" i="2"/>
  <c r="AC70" i="2"/>
  <c r="AQ49" i="2"/>
  <c r="CD67" i="2"/>
  <c r="AC60" i="2"/>
  <c r="AQ55" i="2"/>
  <c r="N47" i="2"/>
  <c r="J12" i="2" s="1" a="1"/>
  <c r="J12" i="2" s="1"/>
  <c r="AE186" i="2"/>
  <c r="BF144" i="2"/>
  <c r="AC77" i="2"/>
  <c r="N76" i="2"/>
  <c r="BS58" i="2"/>
  <c r="CE133" i="2"/>
  <c r="CD100" i="2"/>
  <c r="CE140" i="2"/>
  <c r="N68" i="2"/>
  <c r="AR152" i="2"/>
  <c r="AR155" i="2"/>
  <c r="O148" i="2"/>
  <c r="BE77" i="2"/>
  <c r="BS65" i="2"/>
  <c r="BS77" i="2"/>
  <c r="CD68" i="2"/>
  <c r="BS60" i="2"/>
  <c r="CD60" i="2"/>
  <c r="AQ58" i="2"/>
  <c r="N60" i="2"/>
  <c r="AC112" i="2"/>
  <c r="CF169" i="2"/>
  <c r="BE104" i="2"/>
  <c r="BF131" i="2"/>
  <c r="AC108" i="2"/>
  <c r="BG181" i="2"/>
  <c r="BT148" i="2"/>
  <c r="BF155" i="2"/>
  <c r="N77" i="2"/>
  <c r="BS78" i="2"/>
  <c r="AQ70" i="2"/>
  <c r="BS55" i="2"/>
  <c r="BE70" i="2"/>
  <c r="BE49" i="2"/>
  <c r="BE58" i="2"/>
  <c r="N51" i="2"/>
  <c r="AC48" i="2"/>
  <c r="AE171" i="2"/>
  <c r="AD131" i="2"/>
  <c r="AD132" i="2"/>
  <c r="CE148" i="2"/>
  <c r="N78" i="2"/>
  <c r="AD136" i="2"/>
  <c r="AS181" i="2"/>
  <c r="AD151" i="2"/>
  <c r="AC69" i="2"/>
  <c r="CD65" i="2"/>
  <c r="AC59" i="2"/>
  <c r="AE185" i="2"/>
  <c r="AC76" i="2"/>
  <c r="O14" i="2" l="1" a="1"/>
  <c r="O14" i="2" s="1"/>
  <c r="M13" i="2" a="1"/>
  <c r="M13" i="2" s="1"/>
  <c r="O13" i="2" a="1"/>
  <c r="O13" i="2" s="1"/>
  <c r="N12" i="2" a="1"/>
  <c r="N12" i="2" s="1"/>
  <c r="N15" i="2" a="1"/>
  <c r="N15" i="2" s="1"/>
  <c r="N14" i="2" a="1"/>
  <c r="N14" i="2" s="1"/>
  <c r="N13" i="2" a="1"/>
  <c r="N13" i="2" s="1"/>
  <c r="L12" i="2" a="1"/>
  <c r="L12" i="2" s="1"/>
  <c r="K14" i="2" a="1"/>
  <c r="K14" i="2" s="1"/>
  <c r="K12" i="2" a="1"/>
  <c r="K12" i="2" s="1"/>
  <c r="K15" i="2" a="1"/>
  <c r="K15" i="2" s="1"/>
  <c r="K13" i="2" a="1"/>
  <c r="K13" i="2" s="1"/>
  <c r="L14" i="2" a="1"/>
  <c r="L14" i="2" s="1"/>
  <c r="L15" i="2" a="1"/>
  <c r="L15" i="2" s="1"/>
  <c r="L13" i="2" a="1"/>
  <c r="L13" i="2" s="1"/>
  <c r="M14" i="2" a="1"/>
  <c r="M14" i="2" s="1"/>
  <c r="J15" i="2" a="1"/>
  <c r="J15" i="2" s="1"/>
  <c r="O12" i="2" a="1"/>
  <c r="O12" i="2" s="1"/>
  <c r="M15" i="2" a="1"/>
  <c r="M15" i="2" s="1"/>
  <c r="M12" i="2" a="1"/>
  <c r="M12" i="2" s="1"/>
  <c r="J14" i="2" a="1"/>
  <c r="J14" i="2" s="1"/>
  <c r="O15" i="2" a="1"/>
  <c r="O15" i="2" s="1"/>
  <c r="P15" i="2" l="1"/>
  <c r="P13" i="2"/>
  <c r="P14" i="2"/>
  <c r="N46" i="2"/>
  <c r="P12" i="2"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tc={AB515D83-BDDC-4FE1-ABDC-B3C6E311AC35}</author>
  </authors>
  <commentList>
    <comment ref="N46" authorId="0" shapeId="0" xr:uid="{AB515D83-BDDC-4FE1-ABDC-B3C6E311AC35}">
      <text>
        <t>[Komentarų gija]
„Excel“ versija leidžia jums skaityti šią komentarų giją, tačiau visi jos taisymai bus pašalinti, jei failas atidaromas naudojant naujesnę „Excel“ versiją. Daugiau informacijos: https://go.microsoft.com/fwlink/?linkid=870924.
Komentaras:
    Skirtumas paverčiamas į kg,
padauginama iš vidutinės ridos per metus,
paverčiama į kt,
padauginama iš metų kiekio/laikotarpio</t>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tc={313D4BF0-C712-444D-9277-421AA03E1C1F}</author>
    <author>tc={434C77B4-801C-489F-BBD8-54A166909A4C}</author>
    <author>tc={AF1E10E0-81DB-4A0F-BB2A-3373D18F7A44}</author>
    <author>tc={C3AFC49C-2B73-476E-9D6F-B2AFF27E9E20}</author>
    <author>tc={0DC177F9-5BD4-4086-AB13-1F4D76B0076A}</author>
    <author>tc={F5360A0D-65E8-4598-9938-0973197E3F64}</author>
    <author>tc={DBBD744C-F66D-498B-BC4D-32AEF17E78E5}</author>
    <author>tc={B2B5A95E-D87F-4710-A64F-E2B72F0D54EC}</author>
    <author>tc={FC48F25B-DEAE-4402-ACA3-26881C56B511}</author>
    <author>tc={E073EBA0-C936-427E-A61B-D42CDCF1BF6A}</author>
    <author>tc={5AB021E0-87B6-4519-A651-DE92A5A0DB42}</author>
    <author>tc={7C83AE7B-5E79-4EBB-B99F-13E623402F92}</author>
  </authors>
  <commentList>
    <comment ref="N106" authorId="0" shapeId="0" xr:uid="{313D4BF0-C712-444D-9277-421AA03E1C1F}">
      <text>
        <t>[Komentarų gija]
„Excel“ versija leidžia jums skaityti šią komentarų giją, tačiau visi jos taisymai bus pašalinti, jei failas atidaromas naudojant naujesnę „Excel“ versiją. Daugiau informacijos: https://go.microsoft.com/fwlink/?linkid=870924.
Komentaras:
    Skirtumas paverčiamas į kg,
padauginama iš vidutinės ridos per metus,
paverčiama į kt,
padauginama iš metų kiekio/laikotarpio</t>
      </text>
    </comment>
    <comment ref="AD106" authorId="1" shapeId="0" xr:uid="{434C77B4-801C-489F-BBD8-54A166909A4C}">
      <text>
        <t>[Komentarų gija]
„Excel“ versija leidžia jums skaityti šią komentarų giją, tačiau visi jos taisymai bus pašalinti, jei failas atidaromas naudojant naujesnę „Excel“ versiją. Daugiau informacijos: https://go.microsoft.com/fwlink/?linkid=870924.
Komentaras:
    Skirtumas paverčiamas į kg,
padauginama iš vidutinės ridos per metus,
paverčiama į kt,
padauginama iš metų kiekio/laikotarpio</t>
      </text>
    </comment>
    <comment ref="AR106" authorId="2" shapeId="0" xr:uid="{AF1E10E0-81DB-4A0F-BB2A-3373D18F7A44}">
      <text>
        <t>[Komentarų gija]
„Excel“ versija leidžia jums skaityti šią komentarų giją, tačiau visi jos taisymai bus pašalinti, jei failas atidaromas naudojant naujesnę „Excel“ versiją. Daugiau informacijos: https://go.microsoft.com/fwlink/?linkid=870924.
Komentaras:
    Skirtumas paverčiamas į kg,
padauginama iš vidutinės ridos per metus,
paverčiama į kt,
padauginama iš metų kiekio/laikotarpio</t>
      </text>
    </comment>
    <comment ref="BF106" authorId="3" shapeId="0" xr:uid="{C3AFC49C-2B73-476E-9D6F-B2AFF27E9E20}">
      <text>
        <t>[Komentarų gija]
„Excel“ versija leidžia jums skaityti šią komentarų giją, tačiau visi jos taisymai bus pašalinti, jei failas atidaromas naudojant naujesnę „Excel“ versiją. Daugiau informacijos: https://go.microsoft.com/fwlink/?linkid=870924.
Komentaras:
    Skirtumas paverčiamas į kg,
padauginama iš vidutinės ridos per metus,
paverčiama į kt,
padauginama iš metų kiekio/laikotarpio</t>
      </text>
    </comment>
    <comment ref="N114" authorId="4" shapeId="0" xr:uid="{0DC177F9-5BD4-4086-AB13-1F4D76B0076A}">
      <text>
        <t>[Komentarų gija]
„Excel“ versija leidžia jums skaityti šią komentarų giją, tačiau visi jos taisymai bus pašalinti, jei failas atidaromas naudojant naujesnę „Excel“ versiją. Daugiau informacijos: https://go.microsoft.com/fwlink/?linkid=870924.
Komentaras:
    Skirtumas paverčiamas į kg,
padauginama iš vidutinės ridos per metus,
paverčiama į kt,
padauginama iš metų kiekio/laikotarpio</t>
      </text>
    </comment>
    <comment ref="AD114" authorId="5" shapeId="0" xr:uid="{F5360A0D-65E8-4598-9938-0973197E3F64}">
      <text>
        <t>[Komentarų gija]
„Excel“ versija leidžia jums skaityti šią komentarų giją, tačiau visi jos taisymai bus pašalinti, jei failas atidaromas naudojant naujesnę „Excel“ versiją. Daugiau informacijos: https://go.microsoft.com/fwlink/?linkid=870924.
Komentaras:
    Skirtumas paverčiamas į kg,
padauginama iš vidutinės ridos per metus,
paverčiama į kt,
padauginama iš metų kiekio/laikotarpio</t>
      </text>
    </comment>
    <comment ref="AR114" authorId="6" shapeId="0" xr:uid="{DBBD744C-F66D-498B-BC4D-32AEF17E78E5}">
      <text>
        <t>[Komentarų gija]
„Excel“ versija leidžia jums skaityti šią komentarų giją, tačiau visi jos taisymai bus pašalinti, jei failas atidaromas naudojant naujesnę „Excel“ versiją. Daugiau informacijos: https://go.microsoft.com/fwlink/?linkid=870924.
Komentaras:
    Skirtumas paverčiamas į kg,
padauginama iš vidutinės ridos per metus,
paverčiama į kt,
padauginama iš metų kiekio/laikotarpio</t>
      </text>
    </comment>
    <comment ref="BF114" authorId="7" shapeId="0" xr:uid="{B2B5A95E-D87F-4710-A64F-E2B72F0D54EC}">
      <text>
        <t>[Komentarų gija]
„Excel“ versija leidžia jums skaityti šią komentarų giją, tačiau visi jos taisymai bus pašalinti, jei failas atidaromas naudojant naujesnę „Excel“ versiją. Daugiau informacijos: https://go.microsoft.com/fwlink/?linkid=870924.
Komentaras:
    Skirtumas paverčiamas į kg,
padauginama iš vidutinės ridos per metus,
paverčiama į kt,
padauginama iš metų kiekio/laikotarpio</t>
      </text>
    </comment>
    <comment ref="N115" authorId="8" shapeId="0" xr:uid="{FC48F25B-DEAE-4402-ACA3-26881C56B511}">
      <text>
        <t>[Komentarų gija]
„Excel“ versija leidžia jums skaityti šią komentarų giją, tačiau visi jos taisymai bus pašalinti, jei failas atidaromas naudojant naujesnę „Excel“ versiją. Daugiau informacijos: https://go.microsoft.com/fwlink/?linkid=870924.
Komentaras:
    Skirtumas paverčiamas į kg,
padauginama iš vidutinės ridos per metus,
paverčiama į kt,
padauginama iš metų kiekio/laikotarpio</t>
      </text>
    </comment>
    <comment ref="AD115" authorId="9" shapeId="0" xr:uid="{E073EBA0-C936-427E-A61B-D42CDCF1BF6A}">
      <text>
        <t>[Komentarų gija]
„Excel“ versija leidžia jums skaityti šią komentarų giją, tačiau visi jos taisymai bus pašalinti, jei failas atidaromas naudojant naujesnę „Excel“ versiją. Daugiau informacijos: https://go.microsoft.com/fwlink/?linkid=870924.
Komentaras:
    Skirtumas paverčiamas į kg,
padauginama iš vidutinės ridos per metus,
paverčiama į kt,
padauginama iš metų kiekio/laikotarpio</t>
      </text>
    </comment>
    <comment ref="AR115" authorId="10" shapeId="0" xr:uid="{5AB021E0-87B6-4519-A651-DE92A5A0DB42}">
      <text>
        <t>[Komentarų gija]
„Excel“ versija leidžia jums skaityti šią komentarų giją, tačiau visi jos taisymai bus pašalinti, jei failas atidaromas naudojant naujesnę „Excel“ versiją. Daugiau informacijos: https://go.microsoft.com/fwlink/?linkid=870924.
Komentaras:
    Skirtumas paverčiamas į kg,
padauginama iš vidutinės ridos per metus,
paverčiama į kt,
padauginama iš metų kiekio/laikotarpio</t>
      </text>
    </comment>
    <comment ref="BF115" authorId="11" shapeId="0" xr:uid="{7C83AE7B-5E79-4EBB-B99F-13E623402F92}">
      <text>
        <t>[Komentarų gija]
„Excel“ versija leidžia jums skaityti šią komentarų giją, tačiau visi jos taisymai bus pašalinti, jei failas atidaromas naudojant naujesnę „Excel“ versiją. Daugiau informacijos: https://go.microsoft.com/fwlink/?linkid=870924.
Komentaras:
    Skirtumas paverčiamas į kg,
padauginama iš vidutinės ridos per metus,
paverčiama į kt,
padauginama iš metų kiekio/laikotarpio</t>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<sst xmlns="http://schemas.openxmlformats.org/spreadsheetml/2006/main" count="4517" uniqueCount="170">
  <si>
    <t>SKAIČIUOKLĖ</t>
  </si>
  <si>
    <t>Transporto priemonių skaičiaus reguliavimo poveikio oro taršos sumažinimui nustatymo skaičiuoklė</t>
  </si>
  <si>
    <t>Parametro tipas</t>
  </si>
  <si>
    <t>Parametras</t>
  </si>
  <si>
    <t xml:space="preserve">Variantas 1 </t>
  </si>
  <si>
    <t>Variantas 2</t>
  </si>
  <si>
    <t>Variantas 3</t>
  </si>
  <si>
    <t>Variantas 4</t>
  </si>
  <si>
    <t>Variantas 5</t>
  </si>
  <si>
    <t>Variantas 6</t>
  </si>
  <si>
    <t>Suma</t>
  </si>
  <si>
    <t>TEISĖKŪROS INICIATYVOS PARAMETRAI</t>
  </si>
  <si>
    <t>Įgyvendinimo laikotarpis, m</t>
  </si>
  <si>
    <t>-</t>
  </si>
  <si>
    <t>OBJEKTO PARAMETRAI</t>
  </si>
  <si>
    <t>Transporto priemonės kategorija</t>
  </si>
  <si>
    <t>Lengvosios keleivinės transporto priemonės</t>
  </si>
  <si>
    <t>Sunkiosios transporto priemonės</t>
  </si>
  <si>
    <t>Kuro tipas</t>
  </si>
  <si>
    <t>Dyzelis</t>
  </si>
  <si>
    <t>Emisijų standartas</t>
  </si>
  <si>
    <t>Euro 1</t>
  </si>
  <si>
    <t>Vidurkis</t>
  </si>
  <si>
    <t>REGULIUOJAMO VEIKLOS RODIKLIO PARAMETRAI</t>
  </si>
  <si>
    <t>Bazinis TP kiekis</t>
  </si>
  <si>
    <t>Projektinis TP kiekis</t>
  </si>
  <si>
    <t>REZULTATAI, kt</t>
  </si>
  <si>
    <r>
      <t>NH</t>
    </r>
    <r>
      <rPr>
        <b/>
        <sz val="8"/>
        <color theme="2" tint="-0.499984740745262"/>
        <rFont val="Calibri"/>
        <family val="2"/>
        <charset val="186"/>
        <scheme val="minor"/>
      </rPr>
      <t>3</t>
    </r>
    <r>
      <rPr>
        <b/>
        <sz val="11"/>
        <color theme="2" tint="-0.499984740745262"/>
        <rFont val="Calibri"/>
        <family val="2"/>
        <charset val="186"/>
        <scheme val="minor"/>
      </rPr>
      <t xml:space="preserve"> sumažinimas</t>
    </r>
  </si>
  <si>
    <t>NMLOJ sumažinimas</t>
  </si>
  <si>
    <r>
      <t>NO</t>
    </r>
    <r>
      <rPr>
        <b/>
        <sz val="9"/>
        <color theme="2" tint="-0.499984740745262"/>
        <rFont val="Calibri"/>
        <family val="2"/>
        <charset val="186"/>
        <scheme val="minor"/>
      </rPr>
      <t>x</t>
    </r>
    <r>
      <rPr>
        <b/>
        <sz val="11"/>
        <color theme="2" tint="-0.499984740745262"/>
        <rFont val="Calibri"/>
        <family val="2"/>
        <charset val="186"/>
        <scheme val="minor"/>
      </rPr>
      <t xml:space="preserve"> sumažinimas</t>
    </r>
  </si>
  <si>
    <t>KD2,5 sumažinimas</t>
  </si>
  <si>
    <t>Skaičiavimai:</t>
  </si>
  <si>
    <t>- nebenaudojami dėl duomenų trūkumo</t>
  </si>
  <si>
    <t>Scenarijus 1</t>
  </si>
  <si>
    <t>tuščiam</t>
  </si>
  <si>
    <t>Scenarijus 2</t>
  </si>
  <si>
    <t>Scenarijus 3</t>
  </si>
  <si>
    <t>Scenarijus 4</t>
  </si>
  <si>
    <t>Scenarijus 5</t>
  </si>
  <si>
    <t>Scenarijus 6</t>
  </si>
  <si>
    <t>helper</t>
  </si>
  <si>
    <t>Lengvosios komercinės transporto priemonės</t>
  </si>
  <si>
    <t>Autobusai</t>
  </si>
  <si>
    <t>LENGVOSIOS KELEIVINĖS TRANSPORTO PRIEMONĖS</t>
  </si>
  <si>
    <t>Euro standartų dropdown</t>
  </si>
  <si>
    <t xml:space="preserve"> benzinas ir dyzelis</t>
  </si>
  <si>
    <t>dujos</t>
  </si>
  <si>
    <t>Euro 2</t>
  </si>
  <si>
    <t>Euro 3</t>
  </si>
  <si>
    <t>Euro 4</t>
  </si>
  <si>
    <t>Euro 5</t>
  </si>
  <si>
    <t>Euro 6 a/b/c</t>
  </si>
  <si>
    <t>Euro 6 - EC 715/2007</t>
  </si>
  <si>
    <t>Euro 6 d-temp</t>
  </si>
  <si>
    <t>Euro 6 d</t>
  </si>
  <si>
    <t>EF</t>
  </si>
  <si>
    <t>Dropdown:</t>
  </si>
  <si>
    <t>NH3 g/km</t>
  </si>
  <si>
    <t>Helper</t>
  </si>
  <si>
    <t>FC g/km</t>
  </si>
  <si>
    <t>B - Skaičiavimas</t>
  </si>
  <si>
    <t>P - Skaičiavimas</t>
  </si>
  <si>
    <t>Skirtumas</t>
  </si>
  <si>
    <t>Benzinas</t>
  </si>
  <si>
    <t>kt</t>
  </si>
  <si>
    <t>Dujos</t>
  </si>
  <si>
    <t>Hibridas</t>
  </si>
  <si>
    <t>Suslėgtos gamt. dujos</t>
  </si>
  <si>
    <t>E85 dujos</t>
  </si>
  <si>
    <t>NMVOC g/km</t>
  </si>
  <si>
    <t>NOx g/km</t>
  </si>
  <si>
    <t>PM2.5 g/km</t>
  </si>
  <si>
    <t>benzinas ir dyzelis</t>
  </si>
  <si>
    <t>Sunkiosios transporto priemonės:</t>
  </si>
  <si>
    <t>benzinas</t>
  </si>
  <si>
    <t>Conventional</t>
  </si>
  <si>
    <t>Euro I</t>
  </si>
  <si>
    <t>Euro II</t>
  </si>
  <si>
    <t>Euro III</t>
  </si>
  <si>
    <t>Euro IV</t>
  </si>
  <si>
    <t>Euro V</t>
  </si>
  <si>
    <t>Euro VI A/B/C</t>
  </si>
  <si>
    <t>Euro VI D/E</t>
  </si>
  <si>
    <t>Benzinas (TP svoris &gt; 3,5 t)</t>
  </si>
  <si>
    <t>Dyzelis (TP svoris &lt;= 7,5 t)</t>
  </si>
  <si>
    <t>Dyzelis (TP svoris 7,5 - 16 t)</t>
  </si>
  <si>
    <t>Dyzelis (TP svoris 16 - 32 t)</t>
  </si>
  <si>
    <t>Dyzelis (TP svoris &gt; 32 t)</t>
  </si>
  <si>
    <t>Autobusai M3</t>
  </si>
  <si>
    <t>Dujos (miesto autobusai)</t>
  </si>
  <si>
    <t>Dyzelis (miesto autobusai)</t>
  </si>
  <si>
    <t>Dyzelis (trapmiestiniai autobusai)</t>
  </si>
  <si>
    <t>N.A.</t>
  </si>
  <si>
    <t>EMISIJOS FAKTORIAI</t>
  </si>
  <si>
    <t>Emisijos faktoriai imti iš (nuo 25 psl): https://www.eea.europa.eu/publications/emep-eea-guidebook-2023/part-b-sectoral-guidance-chapters/1-energy/1-a-combustion/1-a-3-b-i/view</t>
  </si>
  <si>
    <t>Visi emisijos faktoriai buvo imti TIER2. Emisijos standartai skiriasi pagal TP kategoriją, kuro tipą ir emisijos standartus.</t>
  </si>
  <si>
    <r>
      <rPr>
        <b/>
        <sz val="11"/>
        <rFont val="Calibri"/>
        <family val="2"/>
        <charset val="186"/>
        <scheme val="minor"/>
      </rPr>
      <t>Dėmesio</t>
    </r>
    <r>
      <rPr>
        <sz val="11"/>
        <rFont val="Calibri"/>
        <family val="2"/>
        <charset val="186"/>
        <scheme val="minor"/>
      </rPr>
      <t>: - lengvųjų keleivinių transporto priemonių (LKTP) benzino (petrol mini, petrol small, petrol medium, petrol large-suv-executive) EF buvo suvidurkinti, ir dyzelio (diesel small, diesel medium, diesel large-suv-executive) EF buvo suvidurkinti, taigi, naudojami emisijos faktoriai LKTP benzinui ir dyzeliui (dar išskirstyti pagal emisijos standartus). Tai nėra tas pats, kaip vidurkio pasirinkimas emisijos faktorių sąraše skaičiuoklėje. Vidurkio pasirinkimas sąraše yra visų emisijos standartų emisijos faktorių vidurkis lengvosioms keleivinėms transporto priemonėms ir atitinkamai kuro rūšiai (benzinui arba dyzeliui).</t>
    </r>
  </si>
  <si>
    <t>VIDUTINIS KURO SUNAUDOJIMAS</t>
  </si>
  <si>
    <t xml:space="preserve">Vidutiniai kuro sunaudojimai imti iš to paties failo, nuo 33 psl. Vidutiniai kuro sunaudojimai skirasi pagal TP kategoriją, kuro tipą ir emisijos standartus. </t>
  </si>
  <si>
    <r>
      <rPr>
        <b/>
        <sz val="11"/>
        <rFont val="Calibri"/>
        <family val="2"/>
        <charset val="186"/>
        <scheme val="minor"/>
      </rPr>
      <t>Dėmesio</t>
    </r>
    <r>
      <rPr>
        <sz val="11"/>
        <rFont val="Calibri"/>
        <family val="2"/>
        <charset val="186"/>
        <scheme val="minor"/>
      </rPr>
      <t xml:space="preserve">: analogiškai buvo suvidurkinti LKTP vidutiniai kuro sunaudojimai benzinui ir dyzeliui. </t>
    </r>
  </si>
  <si>
    <t>Kelių transporto priemonių degalų rūšies reguliavimo poveikio oro teršos sumažinimui nustatymo skaičiuoklė</t>
  </si>
  <si>
    <t>LAIKO PARAMETRAI</t>
  </si>
  <si>
    <t>TI taikymo laikotarpis, m</t>
  </si>
  <si>
    <t>Bendra TP klasė</t>
  </si>
  <si>
    <t>M1</t>
  </si>
  <si>
    <t xml:space="preserve">Bazinė degalų rūšis </t>
  </si>
  <si>
    <t>Dyzelinas</t>
  </si>
  <si>
    <t xml:space="preserve">Bazinis emisijų standartas </t>
  </si>
  <si>
    <t xml:space="preserve">Projektinė degalų rūšis </t>
  </si>
  <si>
    <t xml:space="preserve">Projektinis emisijų standartas </t>
  </si>
  <si>
    <t>Nežinoma</t>
  </si>
  <si>
    <t>*Bendras TP kiekis, vnt.</t>
  </si>
  <si>
    <t>REZULTATAI</t>
  </si>
  <si>
    <r>
      <t>NH</t>
    </r>
    <r>
      <rPr>
        <b/>
        <sz val="8"/>
        <color theme="6" tint="-0.749992370372631"/>
        <rFont val="Calibri"/>
        <family val="2"/>
        <charset val="186"/>
        <scheme val="minor"/>
      </rPr>
      <t>3</t>
    </r>
    <r>
      <rPr>
        <b/>
        <sz val="11"/>
        <color theme="6" tint="-0.749992370372631"/>
        <rFont val="Calibri"/>
        <family val="2"/>
        <charset val="186"/>
        <scheme val="minor"/>
      </rPr>
      <t xml:space="preserve">  (1)</t>
    </r>
  </si>
  <si>
    <r>
      <t>NH</t>
    </r>
    <r>
      <rPr>
        <b/>
        <sz val="8"/>
        <color theme="6" tint="-0.749992370372631"/>
        <rFont val="Calibri"/>
        <family val="2"/>
        <charset val="186"/>
        <scheme val="minor"/>
      </rPr>
      <t>3</t>
    </r>
    <r>
      <rPr>
        <b/>
        <sz val="11"/>
        <color theme="6" tint="-0.749992370372631"/>
        <rFont val="Calibri"/>
        <family val="2"/>
        <charset val="186"/>
        <scheme val="minor"/>
      </rPr>
      <t xml:space="preserve">  (2)</t>
    </r>
  </si>
  <si>
    <r>
      <t>NH</t>
    </r>
    <r>
      <rPr>
        <b/>
        <sz val="8"/>
        <color theme="6" tint="-0.749992370372631"/>
        <rFont val="Calibri"/>
        <family val="2"/>
        <charset val="186"/>
        <scheme val="minor"/>
      </rPr>
      <t>3</t>
    </r>
    <r>
      <rPr>
        <b/>
        <sz val="11"/>
        <color theme="6" tint="-0.749992370372631"/>
        <rFont val="Calibri"/>
        <family val="2"/>
        <charset val="186"/>
        <scheme val="minor"/>
      </rPr>
      <t xml:space="preserve"> kiekio pokytis, kt</t>
    </r>
  </si>
  <si>
    <t>NMLOJ  (1)</t>
  </si>
  <si>
    <t>NMLOJ  (2)</t>
  </si>
  <si>
    <t>NMLOJ kiekio pokytis, kt</t>
  </si>
  <si>
    <r>
      <t>NO</t>
    </r>
    <r>
      <rPr>
        <b/>
        <sz val="9"/>
        <color theme="6" tint="-0.749992370372631"/>
        <rFont val="Calibri"/>
        <family val="2"/>
        <charset val="186"/>
        <scheme val="minor"/>
      </rPr>
      <t>x</t>
    </r>
    <r>
      <rPr>
        <b/>
        <sz val="11"/>
        <color theme="6" tint="-0.749992370372631"/>
        <rFont val="Calibri"/>
        <family val="2"/>
        <charset val="186"/>
        <scheme val="minor"/>
      </rPr>
      <t xml:space="preserve">  (1)</t>
    </r>
  </si>
  <si>
    <r>
      <t>NO</t>
    </r>
    <r>
      <rPr>
        <b/>
        <sz val="9"/>
        <color theme="6" tint="-0.749992370372631"/>
        <rFont val="Calibri"/>
        <family val="2"/>
        <charset val="186"/>
        <scheme val="minor"/>
      </rPr>
      <t>x</t>
    </r>
    <r>
      <rPr>
        <b/>
        <sz val="11"/>
        <color theme="6" tint="-0.749992370372631"/>
        <rFont val="Calibri"/>
        <family val="2"/>
        <charset val="186"/>
        <scheme val="minor"/>
      </rPr>
      <t xml:space="preserve">  (2)</t>
    </r>
  </si>
  <si>
    <r>
      <t>NO</t>
    </r>
    <r>
      <rPr>
        <b/>
        <sz val="9"/>
        <color theme="6" tint="-0.749992370372631"/>
        <rFont val="Calibri"/>
        <family val="2"/>
        <charset val="186"/>
        <scheme val="minor"/>
      </rPr>
      <t>x</t>
    </r>
    <r>
      <rPr>
        <b/>
        <sz val="11"/>
        <color theme="6" tint="-0.749992370372631"/>
        <rFont val="Calibri"/>
        <family val="2"/>
        <charset val="186"/>
        <scheme val="minor"/>
      </rPr>
      <t xml:space="preserve"> kiekio pokytis, kt</t>
    </r>
  </si>
  <si>
    <t>KD2,5  (1)</t>
  </si>
  <si>
    <t>KD2,5  (2)</t>
  </si>
  <si>
    <t>KD2,5 kiekio pokytis, kt</t>
  </si>
  <si>
    <t>TP klasė</t>
  </si>
  <si>
    <t>Degalų rūšis</t>
  </si>
  <si>
    <t>Duomenų šaltinis</t>
  </si>
  <si>
    <t>TI - teisėkūros iniciatyva;</t>
  </si>
  <si>
    <t>TP - transporto priemonė;</t>
  </si>
  <si>
    <t>M1 - Lengvieji keleiviniai automobiliai</t>
  </si>
  <si>
    <t>Valstybės Įmonė „REGITRA“, 2024 m. sausio 1 d. duomenys</t>
  </si>
  <si>
    <t>kt - kilotona;</t>
  </si>
  <si>
    <t>N1 - Lengvieji komerciniai automobiliai</t>
  </si>
  <si>
    <t>KD - kietosios dalelės.</t>
  </si>
  <si>
    <t>N2 - Sunkiosios transporto priemonės</t>
  </si>
  <si>
    <t>N3 - Sunkiosios transporto priemonės</t>
  </si>
  <si>
    <t>M3 - Autobusai</t>
  </si>
  <si>
    <t>M2 - Autobusai</t>
  </si>
  <si>
    <t>N1</t>
  </si>
  <si>
    <t>N2/M3</t>
  </si>
  <si>
    <t>M3</t>
  </si>
  <si>
    <t>M2</t>
  </si>
  <si>
    <t xml:space="preserve"> benzinas ir Dyzelinas</t>
  </si>
  <si>
    <t>IF(K44=1;IF(J84=1;$G$53:$G$61;IF(J84=2; $G$53:$G$61; IF(J84=3; $L$53:$L$59;"")));IF(K44=2;$G$163:$G$171;IF(K44=3;IF($K$250=1;$G$228;$L$228:$L$235); IF(K44=4; $G$312:$G$319;$M$44))))</t>
  </si>
  <si>
    <t>IF($K$44=1; $G$92:$G$94; IF($K$44=2; $G$192:$G$193; IF($K$44=3; $G$258:$G$262; IF($K$44=4; $G$340:$G$341; M44))))</t>
  </si>
  <si>
    <t>IF(Z44=1;IF(Y84=1;$V$53:$V$61;IF(Y84=2; $V$53:$V$61; IF(Y84=3; $AA$53:$AA$59;"")));IF(Z44=2;$V$164:$V$172;IF(Z44=3;IF($Z$250=1;$V$228;$AA$228:$AA$235); IF(Z44=4; $V$312:$V$319;$M$44))))</t>
  </si>
  <si>
    <t>IF(BB44=1;IF(BA92=1;$AX$64:$AX$72;IF(BA92=2; $AX$64:$AX$72; IF(BA92=3; $BC$64:$BC$70;"")));IF(BB44=2;$AX$164:$AX$172;IF(BB44=3;IF($BB$258=1;$AX$238;$BC$238:$BC$245); IF(BB44=4; $AX$322:$AX$329;$BD$44))))</t>
  </si>
  <si>
    <t>IF($Z$44=1; $V$92:$V$94; IF($Z$44=2; $V$192:$V$193; IF($Z$44=3; $V$258:$V$262; IF($Z$44=4; $V$340:$V$341; AB44))))</t>
  </si>
  <si>
    <t>IF(AN44=1;IF(AM92=1;$AJ$64:$AJ$72;IF(AM92=2; $AJ$64:$AJ$72; IF(AM92=3; $AO$64:$AO$70;"")));IF(AN44=2;$AJ$164:$AJ$172;IF(AN44=3;IF($AN$258=1;$AJ$238;$AO$238:$AO$245); IF(AN44=4; $AJ$322:$AJ$329;$AP$44))))</t>
  </si>
  <si>
    <t>benzinas ir Dyzelinas</t>
  </si>
  <si>
    <t>Dyzelinas (TP svoris &lt;= 7,5 t)</t>
  </si>
  <si>
    <t>Dyzelinas (TP svoris 7,5 - 16 t)</t>
  </si>
  <si>
    <t>Dyzelinas (TP svoris 16 - 32 t)</t>
  </si>
  <si>
    <t>Dyzelinas (TP svoris &gt; 32 t)</t>
  </si>
  <si>
    <t>Autobusai M3, M2</t>
  </si>
  <si>
    <t>Dyzelinas (miesto autobusai)</t>
  </si>
  <si>
    <t>Dyzelinas (trapmiestiniai autobusai)</t>
  </si>
  <si>
    <t>SKAIČIUOKLĖS ATNAUJINIMO ISTORIJA</t>
  </si>
  <si>
    <t>Skaičiuoklės versijos ID*</t>
  </si>
  <si>
    <t>Atnaujinimo data</t>
  </si>
  <si>
    <t>Administratorius</t>
  </si>
  <si>
    <t>Pastabos</t>
  </si>
  <si>
    <t xml:space="preserve"> v 1.0.</t>
  </si>
  <si>
    <t>2024.03.01</t>
  </si>
  <si>
    <t>AAA Aplinkos būklės analitikos centras</t>
  </si>
  <si>
    <t>Pirmos versijos viešinimas</t>
  </si>
  <si>
    <t>* nuolat naujinama</t>
  </si>
  <si>
    <t>2025.12.19</t>
  </si>
  <si>
    <t>Versijos viešinimas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</si>
</sst>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164" formatCode="0.000"/>
    <numFmt numFmtId="165" formatCode="0.00000"/>
    <numFmt numFmtId="166" formatCode="0.0000"/>
  </numFmts>
  <fonts count="45">
    <font>
      <sz val="11"/>
      <color theme="1"/>
      <name val="Calibri"/>
      <family val="2"/>
      <charset val="186"/>
      <scheme val="minor"/>
    </font>
    <font>
      <sz val="11"/>
      <name val="Calibri"/>
      <family val="2"/>
      <charset val="186"/>
      <scheme val="minor"/>
    </font>
    <font>
      <u/>
      <sz val="11"/>
      <name val="Calibri"/>
      <family val="2"/>
      <charset val="186"/>
      <scheme val="minor"/>
    </font>
    <font>
      <b/>
      <u/>
      <sz val="11"/>
      <name val="Calibri"/>
      <family val="2"/>
      <charset val="186"/>
      <scheme val="minor"/>
    </font>
    <font>
      <b/>
      <sz val="11"/>
      <name val="Calibri"/>
      <family val="2"/>
      <charset val="186"/>
      <scheme val="minor"/>
    </font>
    <font>
      <b/>
      <sz val="11"/>
      <color theme="2" tint="-0.499984740745262"/>
      <name val="Calibri"/>
      <family val="2"/>
      <charset val="186"/>
      <scheme val="minor"/>
    </font>
    <font>
      <sz val="11"/>
      <color theme="2" tint="-0.499984740745262"/>
      <name val="Calibri"/>
      <family val="2"/>
      <charset val="186"/>
      <scheme val="minor"/>
    </font>
    <font>
      <b/>
      <sz val="9"/>
      <color theme="2" tint="-0.499984740745262"/>
      <name val="Calibri"/>
      <family val="2"/>
      <charset val="186"/>
      <scheme val="minor"/>
    </font>
    <font>
      <b/>
      <sz val="8"/>
      <color theme="2" tint="-0.499984740745262"/>
      <name val="Calibri"/>
      <family val="2"/>
      <charset val="186"/>
      <scheme val="minor"/>
    </font>
    <font>
      <b/>
      <sz val="10"/>
      <color rgb="FF449962"/>
      <name val="Calibri"/>
      <family val="2"/>
      <scheme val="minor"/>
    </font>
    <font>
      <b/>
      <sz val="10"/>
      <color rgb="FF449962"/>
      <name val="Calibri"/>
      <family val="2"/>
      <charset val="186"/>
      <scheme val="minor"/>
    </font>
    <font>
      <b/>
      <i/>
      <sz val="11"/>
      <name val="Calibri"/>
      <family val="2"/>
      <charset val="186"/>
      <scheme val="minor"/>
    </font>
    <font>
      <b/>
      <sz val="11"/>
      <color theme="1"/>
      <name val="Calibri"/>
      <family val="2"/>
      <charset val="186"/>
      <scheme val="minor"/>
    </font>
    <font>
      <sz val="11"/>
      <color rgb="FF808080"/>
      <name val="Calibri"/>
      <family val="2"/>
      <charset val="186"/>
      <scheme val="minor"/>
    </font>
    <font>
      <sz val="14"/>
      <color indexed="55"/>
      <name val="Calibri"/>
      <family val="2"/>
      <charset val="186"/>
      <scheme val="minor"/>
    </font>
    <font>
      <sz val="10"/>
      <color indexed="55"/>
      <name val="Calibri"/>
      <family val="2"/>
      <charset val="186"/>
      <scheme val="minor"/>
    </font>
    <font>
      <b/>
      <sz val="14"/>
      <color rgb="FF0F5031"/>
      <name val="Calibri"/>
      <family val="2"/>
      <charset val="186"/>
      <scheme val="minor"/>
    </font>
    <font>
      <sz val="14"/>
      <color theme="1"/>
      <name val="Calibri"/>
      <family val="2"/>
      <charset val="186"/>
      <scheme val="minor"/>
    </font>
    <font>
      <b/>
      <sz val="12"/>
      <color theme="3"/>
      <name val="Calibri"/>
      <family val="2"/>
      <charset val="186"/>
      <scheme val="minor"/>
    </font>
    <font>
      <sz val="12"/>
      <color theme="1"/>
      <name val="Calibri"/>
      <family val="2"/>
      <charset val="186"/>
      <scheme val="minor"/>
    </font>
    <font>
      <sz val="14"/>
      <name val="Calibri"/>
      <family val="2"/>
      <charset val="186"/>
      <scheme val="minor"/>
    </font>
    <font>
      <b/>
      <sz val="11"/>
      <color rgb="FF0F5031"/>
      <name val="YAFcfhdOoGk 0"/>
    </font>
    <font>
      <sz val="14"/>
      <color rgb="FFA5D8B7"/>
      <name val="Calibri"/>
      <family val="2"/>
      <charset val="186"/>
      <scheme val="minor"/>
    </font>
    <font>
      <b/>
      <sz val="14"/>
      <color rgb="FF0DA378"/>
      <name val="Calibri"/>
      <family val="2"/>
      <charset val="186"/>
      <scheme val="minor"/>
    </font>
    <font>
      <sz val="9"/>
      <color rgb="FF808080"/>
      <name val="Palemonas"/>
    </font>
    <font>
      <sz val="9"/>
      <color rgb="FF8FCEA5"/>
      <name val="Palemon"/>
    </font>
    <font>
      <i/>
      <sz val="10"/>
      <color theme="9" tint="-0.249977111117893"/>
      <name val="Palemon"/>
    </font>
    <font>
      <sz val="11"/>
      <color rgb="FF8FCEA5"/>
      <name val="Calibri"/>
      <family val="2"/>
      <charset val="186"/>
      <scheme val="minor"/>
    </font>
    <font>
      <i/>
      <sz val="10"/>
      <color theme="1" tint="-0.249977111117893"/>
      <name val="Palemon"/>
    </font>
    <font>
      <sz val="11"/>
      <color theme="9" tint="-0.749992370372631"/>
      <name val="Calibri"/>
      <family val="2"/>
      <charset val="186"/>
      <scheme val="minor"/>
    </font>
    <font>
      <sz val="11"/>
      <color rgb="FFFFFFFF"/>
      <name val="Calibri"/>
      <family val="2"/>
      <charset val="186"/>
      <scheme val="minor"/>
    </font>
    <font>
      <u/>
      <sz val="11"/>
      <color theme="1"/>
      <name val="Calibri"/>
      <family val="2"/>
      <charset val="186"/>
      <scheme val="minor"/>
    </font>
    <font>
      <sz val="8"/>
      <name val="Calibri"/>
      <family val="2"/>
      <charset val="186"/>
      <scheme val="minor"/>
    </font>
    <font>
      <sz val="11"/>
      <name val="Calibri"/>
      <family val="2"/>
      <scheme val="minor"/>
    </font>
    <font>
      <b/>
      <sz val="11"/>
      <color theme="6" tint="-0.749992370372631"/>
      <name val="Calibri"/>
      <family val="2"/>
      <scheme val="minor"/>
    </font>
    <font>
      <sz val="11"/>
      <color theme="6" tint="-0.749992370372631"/>
      <name val="Calibri"/>
      <family val="2"/>
      <scheme val="minor"/>
    </font>
    <font>
      <b/>
      <sz val="11"/>
      <color rgb="FFFFFFFF"/>
      <name val="Calibri"/>
      <family val="2"/>
      <charset val="186"/>
      <scheme val="minor"/>
    </font>
    <font>
      <sz val="11"/>
      <color theme="6" tint="-0.749992370372631"/>
      <name val="Calibri"/>
      <family val="2"/>
      <charset val="186"/>
      <scheme val="minor"/>
    </font>
    <font>
      <sz val="11"/>
      <color rgb="FFFF0000"/>
      <name val="Calibri"/>
      <family val="2"/>
      <scheme val="minor"/>
    </font>
    <font>
      <b/>
      <sz val="11"/>
      <color rgb="FFFFFFFF"/>
      <name val="Calibri"/>
      <family val="2"/>
      <charset val="186"/>
    </font>
    <font>
      <b/>
      <sz val="11"/>
      <color theme="6" tint="-0.749992370372631"/>
      <name val="Calibri"/>
      <family val="2"/>
      <charset val="186"/>
      <scheme val="minor"/>
    </font>
    <font>
      <b/>
      <sz val="8"/>
      <color theme="6" tint="-0.749992370372631"/>
      <name val="Calibri"/>
      <family val="2"/>
      <charset val="186"/>
      <scheme val="minor"/>
    </font>
    <font>
      <b/>
      <sz val="9"/>
      <color theme="6" tint="-0.749992370372631"/>
      <name val="Calibri"/>
      <family val="2"/>
      <charset val="186"/>
      <scheme val="minor"/>
    </font>
    <font>
      <sz val="10"/>
      <color theme="6" tint="-0.749992370372631"/>
      <name val="Calibri"/>
      <family val="2"/>
      <charset val="186"/>
      <scheme val="minor"/>
    </font>
    <font>
      <sz val="11"/>
      <color rgb="FF000000"/>
      <name val="Consolas"/>
      <charset val="1"/>
    </font>
  </fonts>
  <fills count="15">
    <fill>
      <patternFill patternType="none"/>
    </fill>
    <fill>
      <patternFill patternType="gray125"/>
    </fill>
    <fill>
      <patternFill patternType="solid">
        <fgColor theme="6"/>
        <bgColor indexed="64"/>
      </patternFill>
    </fill>
    <fill>
      <patternFill patternType="solid">
        <fgColor rgb="FFCBC8C7"/>
        <bgColor indexed="64"/>
      </patternFill>
    </fill>
    <fill>
      <patternFill patternType="solid">
        <fgColor rgb="FFFFFFFF"/>
        <bgColor indexed="64"/>
      </patternFill>
    </fill>
    <fill>
      <patternFill patternType="solid">
        <fgColor theme="7" tint="0.79998168889431442"/>
        <bgColor indexed="64"/>
      </patternFill>
    </fill>
    <fill>
      <patternFill patternType="solid">
        <fgColor rgb="FFFFFFFF"/>
        <bgColor rgb="FF000000"/>
      </patternFill>
    </fill>
    <fill>
      <patternFill patternType="solid">
        <fgColor rgb="FFE1F5FD"/>
        <bgColor rgb="FF000000"/>
      </patternFill>
    </fill>
    <fill>
      <patternFill patternType="solid">
        <fgColor rgb="FFF4FAF6"/>
        <bgColor rgb="FF000000"/>
      </patternFill>
    </fill>
    <fill>
      <patternFill patternType="solid">
        <fgColor theme="8" tint="0.79998168889431442"/>
        <bgColor indexed="64"/>
      </patternFill>
    </fill>
    <fill>
      <patternFill patternType="solid">
        <fgColor theme="6"/>
        <bgColor rgb="FF000000"/>
      </patternFill>
    </fill>
    <fill>
      <patternFill patternType="solid">
        <fgColor theme="1" tint="0.59999389629810485"/>
        <bgColor indexed="64"/>
      </patternFill>
    </fill>
    <fill>
      <patternFill patternType="solid">
        <fgColor theme="6" tint="-9.9978637043366805E-2"/>
        <bgColor indexed="64"/>
      </patternFill>
    </fill>
    <fill>
      <patternFill patternType="solid">
        <fgColor theme="1"/>
        <bgColor indexed="64"/>
      </patternFill>
    </fill>
    <fill>
      <patternFill patternType="solid">
        <fgColor theme="9" tint="-9.9978637043366805E-2"/>
        <bgColor indexed="64"/>
      </patternFill>
    </fill>
  </fills>
  <borders count="138">
    <border>
      <left/>
      <right/>
      <top/>
      <bottom/>
      <diagonal/>
    </border>
    <border>
      <left style="dashed">
        <color rgb="FFCBC8C7"/>
      </left>
      <right style="dashed">
        <color rgb="FFCBC8C7"/>
      </right>
      <top style="dashed">
        <color rgb="FFCBC8C7"/>
      </top>
      <bottom style="dashed">
        <color rgb="FFCBC8C7"/>
      </bottom>
      <diagonal/>
    </border>
    <border>
      <left/>
      <right style="dashed">
        <color rgb="FFCBC8C7"/>
      </right>
      <top style="dashed">
        <color rgb="FFCBC8C7"/>
      </top>
      <bottom style="dashed">
        <color rgb="FFCBC8C7"/>
      </bottom>
      <diagonal/>
    </border>
    <border>
      <left/>
      <right/>
      <top style="dashed">
        <color rgb="FFCBC8C7"/>
      </top>
      <bottom style="dashed">
        <color rgb="FFCBC8C7"/>
      </bottom>
      <diagonal/>
    </border>
    <border>
      <left style="dashed">
        <color rgb="FFCBC8C7"/>
      </left>
      <right/>
      <top style="dashed">
        <color rgb="FFCBC8C7"/>
      </top>
      <bottom style="dashed">
        <color rgb="FFCBC8C7"/>
      </bottom>
      <diagonal/>
    </border>
    <border>
      <left/>
      <right style="thin">
        <color indexed="64"/>
      </right>
      <top/>
      <bottom style="thin">
        <color indexed="64"/>
      </bottom>
      <diagonal/>
    </border>
    <border>
      <left/>
      <right/>
      <top/>
      <bottom style="thin">
        <color indexed="64"/>
      </bottom>
      <diagonal/>
    </border>
    <border>
      <left/>
      <right/>
      <top style="medium">
        <color theme="8" tint="-0.249977111117893"/>
      </top>
      <bottom style="thin">
        <color indexed="64"/>
      </bottom>
      <diagonal/>
    </border>
    <border>
      <left style="thin">
        <color indexed="64"/>
      </left>
      <right/>
      <top/>
      <bottom style="thin">
        <color indexed="64"/>
      </bottom>
      <diagonal/>
    </border>
    <border>
      <left/>
      <right style="thin">
        <color indexed="64"/>
      </right>
      <top/>
      <bottom/>
      <diagonal/>
    </border>
    <border>
      <left style="dashed">
        <color rgb="FFCBC8C7"/>
      </left>
      <right style="dashed">
        <color rgb="FFCBC8C7"/>
      </right>
      <top style="dashed">
        <color rgb="FFCBC8C7"/>
      </top>
      <bottom style="medium">
        <color theme="0"/>
      </bottom>
      <diagonal/>
    </border>
    <border>
      <left style="thin">
        <color rgb="FFCBC8C7"/>
      </left>
      <right style="dashed">
        <color rgb="FFCBC8C7"/>
      </right>
      <top style="dashed">
        <color rgb="FFCBC8C7"/>
      </top>
      <bottom style="dashed">
        <color rgb="FFCBC8C7"/>
      </bottom>
      <diagonal/>
    </border>
    <border>
      <left style="thin">
        <color rgb="FFCBC8C7"/>
      </left>
      <right style="thin">
        <color rgb="FFCBC8C7"/>
      </right>
      <top style="dashed">
        <color rgb="FFCBC8C7"/>
      </top>
      <bottom style="dashed">
        <color rgb="FFCBC8C7"/>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dashed">
        <color rgb="FFCBC8C7"/>
      </left>
      <right style="thin">
        <color indexed="64"/>
      </right>
      <top style="thin">
        <color indexed="64"/>
      </top>
      <bottom style="thin">
        <color indexed="64"/>
      </bottom>
      <diagonal/>
    </border>
    <border>
      <left style="thin">
        <color indexed="64"/>
      </left>
      <right/>
      <top/>
      <bottom/>
      <diagonal/>
    </border>
    <border>
      <left style="thin">
        <color rgb="FFCBC8C7"/>
      </left>
      <right style="thin">
        <color rgb="FFCBC8C7"/>
      </right>
      <top style="dashed">
        <color rgb="FFCBC8C7"/>
      </top>
      <bottom/>
      <diagonal/>
    </border>
    <border>
      <left style="dashed">
        <color rgb="FFCBC8C7"/>
      </left>
      <right style="dashed">
        <color rgb="FFCBC8C7"/>
      </right>
      <top/>
      <bottom style="dashed">
        <color rgb="FFCBC8C7"/>
      </bottom>
      <diagonal/>
    </border>
    <border>
      <left style="dashed">
        <color rgb="FFCBC8C7"/>
      </left>
      <right style="thin">
        <color indexed="64"/>
      </right>
      <top/>
      <bottom/>
      <diagonal/>
    </border>
    <border>
      <left style="dashed">
        <color rgb="FFCBC8C7"/>
      </left>
      <right style="dashed">
        <color rgb="FFCBC8C7"/>
      </right>
      <top style="dashed">
        <color rgb="FFCBC8C7"/>
      </top>
      <bottom style="medium">
        <color theme="8" tint="-0.249977111117893"/>
      </bottom>
      <diagonal/>
    </border>
    <border>
      <left/>
      <right style="dashed">
        <color rgb="FFCBC8C7"/>
      </right>
      <top style="dashed">
        <color rgb="FFCBC8C7"/>
      </top>
      <bottom style="medium">
        <color theme="8" tint="-0.249977111117893"/>
      </bottom>
      <diagonal/>
    </border>
    <border>
      <left style="thin">
        <color rgb="FFCBC8C7"/>
      </left>
      <right style="thin">
        <color rgb="FFCBC8C7"/>
      </right>
      <top/>
      <bottom style="medium">
        <color theme="8" tint="-0.249977111117893"/>
      </bottom>
      <diagonal/>
    </border>
    <border>
      <left/>
      <right/>
      <top/>
      <bottom style="medium">
        <color theme="8" tint="-0.249977111117893"/>
      </bottom>
      <diagonal/>
    </border>
    <border>
      <left style="dashed">
        <color rgb="FFCBC8C7"/>
      </left>
      <right/>
      <top/>
      <bottom style="medium">
        <color theme="8" tint="-0.249977111117893"/>
      </bottom>
      <diagonal/>
    </border>
    <border>
      <left style="thin">
        <color rgb="FFCBC8C7"/>
      </left>
      <right style="thin">
        <color rgb="FFCBC8C7"/>
      </right>
      <top style="thin">
        <color rgb="FFCBC8C7"/>
      </top>
      <bottom style="dashed">
        <color rgb="FFCBC8C7"/>
      </bottom>
      <diagonal/>
    </border>
    <border>
      <left style="thin">
        <color rgb="FFCBC8C7"/>
      </left>
      <right style="thin">
        <color rgb="FFCBC8C7"/>
      </right>
      <top style="thin">
        <color rgb="FFCBC8C7"/>
      </top>
      <bottom/>
      <diagonal/>
    </border>
    <border>
      <left style="dashed">
        <color rgb="FFCBC8C7"/>
      </left>
      <right style="thin">
        <color rgb="FFCBC8C7"/>
      </right>
      <top style="thin">
        <color rgb="FFCBC8C7"/>
      </top>
      <bottom style="dashed">
        <color rgb="FFCBC8C7"/>
      </bottom>
      <diagonal/>
    </border>
    <border>
      <left style="dashed">
        <color rgb="FFCBC8C7"/>
      </left>
      <right style="dashed">
        <color rgb="FFCBC8C7"/>
      </right>
      <top style="thin">
        <color rgb="FFCBC8C7"/>
      </top>
      <bottom style="dashed">
        <color rgb="FFCBC8C7"/>
      </bottom>
      <diagonal/>
    </border>
    <border>
      <left style="dashed">
        <color rgb="FFCBC8C7"/>
      </left>
      <right/>
      <top style="double">
        <color theme="8" tint="-0.249977111117893"/>
      </top>
      <bottom style="dashed">
        <color rgb="FFCBC8C7"/>
      </bottom>
      <diagonal/>
    </border>
    <border>
      <left/>
      <right/>
      <top style="double">
        <color theme="8" tint="-0.249977111117893"/>
      </top>
      <bottom/>
      <diagonal/>
    </border>
    <border>
      <left style="thin">
        <color rgb="FFCBC8C7"/>
      </left>
      <right style="dashed">
        <color rgb="FFCBC8C7"/>
      </right>
      <top style="double">
        <color theme="8" tint="-0.249977111117893"/>
      </top>
      <bottom style="dashed">
        <color rgb="FFCBC8C7"/>
      </bottom>
      <diagonal/>
    </border>
    <border>
      <left style="medium">
        <color rgb="FFCBC8C7"/>
      </left>
      <right/>
      <top style="double">
        <color theme="8" tint="-0.249977111117893"/>
      </top>
      <bottom/>
      <diagonal/>
    </border>
    <border>
      <left style="thin">
        <color indexed="64"/>
      </left>
      <right style="medium">
        <color rgb="FFCBC8C7"/>
      </right>
      <top style="double">
        <color theme="8" tint="-0.249977111117893"/>
      </top>
      <bottom style="thin">
        <color rgb="FFCBC8C7"/>
      </bottom>
      <diagonal/>
    </border>
    <border>
      <left style="thin">
        <color indexed="64"/>
      </left>
      <right style="thin">
        <color indexed="64"/>
      </right>
      <top style="double">
        <color theme="8" tint="-0.249977111117893"/>
      </top>
      <bottom style="thin">
        <color rgb="FFCBC8C7"/>
      </bottom>
      <diagonal/>
    </border>
    <border>
      <left style="dashed">
        <color rgb="FFCBC8C7"/>
      </left>
      <right style="thin">
        <color indexed="64"/>
      </right>
      <top style="double">
        <color theme="8" tint="-0.249977111117893"/>
      </top>
      <bottom style="thin">
        <color rgb="FFCBC8C7"/>
      </bottom>
      <diagonal/>
    </border>
    <border>
      <left style="dashed">
        <color rgb="FFCBC8C7"/>
      </left>
      <right/>
      <top style="double">
        <color theme="8" tint="-0.249977111117893"/>
      </top>
      <bottom style="double">
        <color theme="8" tint="-0.249977111117893"/>
      </bottom>
      <diagonal/>
    </border>
    <border>
      <left style="thin">
        <color rgb="FFCBC8C7"/>
      </left>
      <right style="dashed">
        <color rgb="FFCBC8C7"/>
      </right>
      <top style="double">
        <color theme="8" tint="-0.249977111117893"/>
      </top>
      <bottom style="double">
        <color theme="8" tint="-0.249977111117893"/>
      </bottom>
      <diagonal/>
    </border>
    <border>
      <left style="thin">
        <color rgb="FFCBC8C7"/>
      </left>
      <right style="thin">
        <color rgb="FFCBC8C7"/>
      </right>
      <top style="double">
        <color theme="8" tint="-0.249977111117893"/>
      </top>
      <bottom style="double">
        <color theme="8" tint="-0.249977111117893"/>
      </bottom>
      <diagonal/>
    </border>
    <border>
      <left style="thin">
        <color indexed="64"/>
      </left>
      <right style="thin">
        <color indexed="64"/>
      </right>
      <top/>
      <bottom/>
      <diagonal/>
    </border>
    <border>
      <left style="thin">
        <color indexed="64"/>
      </left>
      <right style="dashed">
        <color rgb="FFCBC8C7"/>
      </right>
      <top/>
      <bottom/>
      <diagonal/>
    </border>
    <border>
      <left/>
      <right/>
      <top/>
      <bottom style="double">
        <color theme="8" tint="-0.249977111117893"/>
      </bottom>
      <diagonal/>
    </border>
    <border>
      <left/>
      <right style="thin">
        <color indexed="64"/>
      </right>
      <top style="thin">
        <color indexed="64"/>
      </top>
      <bottom/>
      <diagonal/>
    </border>
    <border>
      <left/>
      <right/>
      <top style="thin">
        <color indexed="64"/>
      </top>
      <bottom/>
      <diagonal/>
    </border>
    <border>
      <left style="thin">
        <color indexed="64"/>
      </left>
      <right/>
      <top style="thin">
        <color indexed="64"/>
      </top>
      <bottom/>
      <diagonal/>
    </border>
    <border>
      <left style="dashed">
        <color rgb="FFCBC8C7"/>
      </left>
      <right/>
      <top style="thin">
        <color rgb="FFFFFFFF"/>
      </top>
      <bottom/>
      <diagonal/>
    </border>
    <border>
      <left style="dashed">
        <color rgb="FFCBC8C7"/>
      </left>
      <right style="dashed">
        <color rgb="FFCBC8C7"/>
      </right>
      <top style="dashed">
        <color rgb="FFCBC8C7"/>
      </top>
      <bottom/>
      <diagonal/>
    </border>
    <border>
      <left style="thin">
        <color rgb="FFFFFFFF"/>
      </left>
      <right style="thin">
        <color rgb="FFCBC8C7"/>
      </right>
      <top style="thin">
        <color rgb="FFFFFFFF"/>
      </top>
      <bottom/>
      <diagonal/>
    </border>
    <border>
      <left style="dashed">
        <color rgb="FFCBC8C7"/>
      </left>
      <right style="thin">
        <color rgb="FFCBC8C7"/>
      </right>
      <top style="dashed">
        <color rgb="FFCBC8C7"/>
      </top>
      <bottom/>
      <diagonal/>
    </border>
    <border>
      <left style="dashed">
        <color rgb="FFCBC8C7"/>
      </left>
      <right/>
      <top style="thin">
        <color rgb="FFC0C0C0"/>
      </top>
      <bottom/>
      <diagonal/>
    </border>
    <border>
      <left/>
      <right/>
      <top style="thin">
        <color rgb="FFC0C0C0"/>
      </top>
      <bottom/>
      <diagonal/>
    </border>
    <border>
      <left/>
      <right style="thin">
        <color rgb="FFCBC8C7"/>
      </right>
      <top style="thin">
        <color rgb="FFC0C0C0"/>
      </top>
      <bottom/>
      <diagonal/>
    </border>
    <border>
      <left/>
      <right style="thin">
        <color rgb="FFCBC8C7"/>
      </right>
      <top/>
      <bottom style="medium">
        <color theme="8" tint="-0.249977111117893"/>
      </bottom>
      <diagonal/>
    </border>
    <border>
      <left style="thin">
        <color rgb="FFFFFFFF"/>
      </left>
      <right style="thin">
        <color rgb="FFFFFFFF"/>
      </right>
      <top style="thin">
        <color rgb="FFFFFFFF"/>
      </top>
      <bottom style="thin">
        <color rgb="FFC0C0C0"/>
      </bottom>
      <diagonal/>
    </border>
    <border>
      <left style="thin">
        <color rgb="FFCBC8C7"/>
      </left>
      <right style="thin">
        <color rgb="FFCBC8C7"/>
      </right>
      <top style="dashed">
        <color rgb="FFC0C0C0"/>
      </top>
      <bottom style="thin">
        <color rgb="FFCBC8C7"/>
      </bottom>
      <diagonal/>
    </border>
    <border>
      <left style="thin">
        <color rgb="FFB2B2B2"/>
      </left>
      <right style="thin">
        <color rgb="FFB2B2B2"/>
      </right>
      <top style="thin">
        <color rgb="FFB2B2B2"/>
      </top>
      <bottom style="thin">
        <color rgb="FFB2B2B2"/>
      </bottom>
      <diagonal/>
    </border>
    <border>
      <left style="thin">
        <color rgb="FFB2B2B2"/>
      </left>
      <right style="thin">
        <color rgb="FFB2B2B2"/>
      </right>
      <top style="thin">
        <color rgb="FFB2B2B2"/>
      </top>
      <bottom/>
      <diagonal/>
    </border>
    <border>
      <left style="thin">
        <color rgb="FFB2B2B2"/>
      </left>
      <right/>
      <top/>
      <bottom/>
      <diagonal/>
    </border>
    <border>
      <left style="thin">
        <color rgb="FFB2B2B2"/>
      </left>
      <right/>
      <top style="thin">
        <color rgb="FFB2B2B2"/>
      </top>
      <bottom style="thin">
        <color rgb="FFB2B2B2"/>
      </bottom>
      <diagonal/>
    </border>
    <border>
      <left style="thin">
        <color rgb="FFB2B2B2"/>
      </left>
      <right style="thin">
        <color rgb="FFB2B2B2"/>
      </right>
      <top/>
      <bottom style="thin">
        <color rgb="FFB2B2B2"/>
      </bottom>
      <diagonal/>
    </border>
    <border>
      <left style="thin">
        <color rgb="FFB2B2B2"/>
      </left>
      <right style="thin">
        <color rgb="FFB2B2B2"/>
      </right>
      <top style="thin">
        <color rgb="FFFFFFFF"/>
      </top>
      <bottom style="thin">
        <color rgb="FFB2B2B2"/>
      </bottom>
      <diagonal/>
    </border>
    <border>
      <left style="thin">
        <color rgb="FFFFFFFF"/>
      </left>
      <right style="thin">
        <color rgb="FFB2B2B2"/>
      </right>
      <top style="thin">
        <color rgb="FFFFFFFF"/>
      </top>
      <bottom style="thin">
        <color rgb="FFB2B2B2"/>
      </bottom>
      <diagonal/>
    </border>
    <border>
      <left style="thin">
        <color rgb="FFFFFFFF"/>
      </left>
      <right style="thin">
        <color rgb="FFB2B2B2"/>
      </right>
      <top style="thin">
        <color rgb="FFB2B2B2"/>
      </top>
      <bottom style="thin">
        <color rgb="FFB2B2B2"/>
      </bottom>
      <diagonal/>
    </border>
    <border>
      <left style="thin">
        <color rgb="FFFFFFFF"/>
      </left>
      <right style="thin">
        <color indexed="64"/>
      </right>
      <top/>
      <bottom/>
      <diagonal/>
    </border>
    <border>
      <left style="thin">
        <color rgb="FFB2B2B2"/>
      </left>
      <right/>
      <top style="thin">
        <color rgb="FFFFFFFF"/>
      </top>
      <bottom style="thin">
        <color rgb="FFB2B2B2"/>
      </bottom>
      <diagonal/>
    </border>
    <border>
      <left/>
      <right/>
      <top style="medium">
        <color theme="0"/>
      </top>
      <bottom style="thin">
        <color indexed="64"/>
      </bottom>
      <diagonal/>
    </border>
    <border>
      <left/>
      <right style="thin">
        <color rgb="FFCBC8C7"/>
      </right>
      <top/>
      <bottom/>
      <diagonal/>
    </border>
    <border>
      <left/>
      <right/>
      <top/>
      <bottom style="double">
        <color rgb="FF00B0F0"/>
      </bottom>
      <diagonal/>
    </border>
    <border>
      <left/>
      <right/>
      <top/>
      <bottom style="double">
        <color rgb="FFFF0000"/>
      </bottom>
      <diagonal/>
    </border>
    <border>
      <left style="medium">
        <color rgb="FFFF0000"/>
      </left>
      <right/>
      <top style="medium">
        <color rgb="FFFF0000"/>
      </top>
      <bottom style="medium">
        <color rgb="FFFF0000"/>
      </bottom>
      <diagonal/>
    </border>
    <border>
      <left/>
      <right/>
      <top style="medium">
        <color rgb="FFFF0000"/>
      </top>
      <bottom style="medium">
        <color rgb="FFFF0000"/>
      </bottom>
      <diagonal/>
    </border>
    <border>
      <left/>
      <right style="medium">
        <color rgb="FFFF0000"/>
      </right>
      <top style="medium">
        <color rgb="FFFF0000"/>
      </top>
      <bottom style="medium">
        <color rgb="FFFF0000"/>
      </bottom>
      <diagonal/>
    </border>
    <border>
      <left/>
      <right/>
      <top/>
      <bottom style="double">
        <color indexed="64"/>
      </bottom>
      <diagonal/>
    </border>
    <border>
      <left/>
      <right style="thin">
        <color rgb="FFCBC8C7"/>
      </right>
      <top style="dashed">
        <color rgb="FFCBC8C7"/>
      </top>
      <bottom style="dashed">
        <color rgb="FFCBC8C7"/>
      </bottom>
      <diagonal/>
    </border>
    <border>
      <left/>
      <right/>
      <top style="medium">
        <color theme="8" tint="-0.249977111117893"/>
      </top>
      <bottom/>
      <diagonal/>
    </border>
    <border>
      <left style="thin">
        <color rgb="FFCBC8C7"/>
      </left>
      <right style="dashed">
        <color rgb="FFCBC8C7"/>
      </right>
      <top/>
      <bottom style="medium">
        <color theme="0"/>
      </bottom>
      <diagonal/>
    </border>
    <border>
      <left style="thin">
        <color rgb="FFCBC8C7"/>
      </left>
      <right style="dashed">
        <color rgb="FFCBC8C7"/>
      </right>
      <top/>
      <bottom style="dashed">
        <color rgb="FFCBC8C7"/>
      </bottom>
      <diagonal/>
    </border>
    <border>
      <left/>
      <right style="dashed">
        <color rgb="FFCBC8C7"/>
      </right>
      <top/>
      <bottom style="medium">
        <color theme="8" tint="-0.249977111117893"/>
      </bottom>
      <diagonal/>
    </border>
    <border>
      <left style="dashed">
        <color rgb="FFCBC8C7"/>
      </left>
      <right style="dashed">
        <color rgb="FFCBC8C7"/>
      </right>
      <top/>
      <bottom style="medium">
        <color theme="8" tint="-0.249977111117893"/>
      </bottom>
      <diagonal/>
    </border>
    <border>
      <left style="dashed">
        <color rgb="FFCBC8C7"/>
      </left>
      <right style="dashed">
        <color rgb="FFCBC8C7"/>
      </right>
      <top/>
      <bottom style="medium">
        <color theme="0"/>
      </bottom>
      <diagonal/>
    </border>
    <border>
      <left style="thin">
        <color rgb="FFCBC8C7"/>
      </left>
      <right style="thin">
        <color rgb="FFCBC8C7"/>
      </right>
      <top/>
      <bottom style="medium">
        <color theme="0"/>
      </bottom>
      <diagonal/>
    </border>
    <border>
      <left/>
      <right/>
      <top/>
      <bottom style="medium">
        <color theme="0"/>
      </bottom>
      <diagonal/>
    </border>
    <border>
      <left/>
      <right style="thin">
        <color rgb="FFCBC8C7"/>
      </right>
      <top style="dashed">
        <color rgb="FFCBC8C7"/>
      </top>
      <bottom style="medium">
        <color theme="0"/>
      </bottom>
      <diagonal/>
    </border>
    <border>
      <left style="thin">
        <color rgb="FFCBC8C7"/>
      </left>
      <right style="dashed">
        <color rgb="FFCBC8C7"/>
      </right>
      <top style="dashed">
        <color rgb="FFCBC8C7"/>
      </top>
      <bottom style="medium">
        <color theme="0"/>
      </bottom>
      <diagonal/>
    </border>
    <border>
      <left/>
      <right style="thin">
        <color rgb="FFCBC8C7"/>
      </right>
      <top style="medium">
        <color theme="8" tint="-0.249977111117893"/>
      </top>
      <bottom/>
      <diagonal/>
    </border>
    <border>
      <left style="dashed">
        <color rgb="FFCBC8C7"/>
      </left>
      <right/>
      <top/>
      <bottom style="medium">
        <color theme="0"/>
      </bottom>
      <diagonal/>
    </border>
    <border>
      <left/>
      <right style="thin">
        <color rgb="FFCBC8C7"/>
      </right>
      <top/>
      <bottom style="medium">
        <color theme="0"/>
      </bottom>
      <diagonal/>
    </border>
    <border>
      <left style="dotted">
        <color rgb="FFC0C0C0"/>
      </left>
      <right style="dotted">
        <color rgb="FFC0C0C0"/>
      </right>
      <top style="dotted">
        <color rgb="FFC0C0C0"/>
      </top>
      <bottom style="dotted">
        <color rgb="FFC0C0C0"/>
      </bottom>
      <diagonal/>
    </border>
    <border>
      <left style="dotted">
        <color rgb="FFC0C0C0"/>
      </left>
      <right/>
      <top style="dotted">
        <color rgb="FFC0C0C0"/>
      </top>
      <bottom/>
      <diagonal/>
    </border>
    <border>
      <left/>
      <right/>
      <top style="dotted">
        <color rgb="FFC0C0C0"/>
      </top>
      <bottom/>
      <diagonal/>
    </border>
    <border>
      <left/>
      <right style="dotted">
        <color rgb="FFC0C0C0"/>
      </right>
      <top style="dotted">
        <color rgb="FFC0C0C0"/>
      </top>
      <bottom/>
      <diagonal/>
    </border>
    <border>
      <left style="dotted">
        <color rgb="FFC0C0C0"/>
      </left>
      <right/>
      <top/>
      <bottom/>
      <diagonal/>
    </border>
    <border>
      <left/>
      <right style="dotted">
        <color rgb="FFC0C0C0"/>
      </right>
      <top/>
      <bottom/>
      <diagonal/>
    </border>
    <border>
      <left style="dashed">
        <color rgb="FFCBC8C7"/>
      </left>
      <right style="dotted">
        <color rgb="FFC0C0C0"/>
      </right>
      <top style="dashed">
        <color rgb="FFCBC8C7"/>
      </top>
      <bottom style="dashed">
        <color rgb="FFCBC8C7"/>
      </bottom>
      <diagonal/>
    </border>
    <border>
      <left style="dashed">
        <color rgb="FFCBC8C7"/>
      </left>
      <right style="dotted">
        <color rgb="FFC0C0C0"/>
      </right>
      <top style="dashed">
        <color rgb="FFCBC8C7"/>
      </top>
      <bottom style="medium">
        <color theme="0"/>
      </bottom>
      <diagonal/>
    </border>
    <border>
      <left style="dotted">
        <color rgb="FFC0C0C0"/>
      </left>
      <right/>
      <top/>
      <bottom style="medium">
        <color theme="8" tint="-0.249977111117893"/>
      </bottom>
      <diagonal/>
    </border>
    <border>
      <left style="dashed">
        <color rgb="FFCBC8C7"/>
      </left>
      <right style="dotted">
        <color rgb="FFC0C0C0"/>
      </right>
      <top/>
      <bottom style="medium">
        <color theme="8" tint="-0.249977111117893"/>
      </bottom>
      <diagonal/>
    </border>
    <border>
      <left style="dotted">
        <color rgb="FFC0C0C0"/>
      </left>
      <right/>
      <top style="medium">
        <color theme="8" tint="-0.249977111117893"/>
      </top>
      <bottom/>
      <diagonal/>
    </border>
    <border>
      <left style="dashed">
        <color rgb="FFCBC8C7"/>
      </left>
      <right style="dotted">
        <color rgb="FFC0C0C0"/>
      </right>
      <top style="dashed">
        <color rgb="FFCBC8C7"/>
      </top>
      <bottom/>
      <diagonal/>
    </border>
    <border>
      <left style="dotted">
        <color rgb="FFC0C0C0"/>
      </left>
      <right/>
      <top/>
      <bottom style="medium">
        <color theme="0"/>
      </bottom>
      <diagonal/>
    </border>
    <border>
      <left style="medium">
        <color rgb="FFCBC8C7"/>
      </left>
      <right/>
      <top/>
      <bottom/>
      <diagonal/>
    </border>
    <border>
      <left style="dashed">
        <color rgb="FFCBC8C7"/>
      </left>
      <right/>
      <top/>
      <bottom style="dashed">
        <color rgb="FFCBC8C7"/>
      </bottom>
      <diagonal/>
    </border>
    <border>
      <left style="dashed">
        <color rgb="FFCBC8C7"/>
      </left>
      <right style="dotted">
        <color rgb="FFC0C0C0"/>
      </right>
      <top/>
      <bottom style="dashed">
        <color rgb="FFCBC8C7"/>
      </bottom>
      <diagonal/>
    </border>
    <border>
      <left style="dashed">
        <color rgb="FFCBC8C7"/>
      </left>
      <right/>
      <top style="double">
        <color theme="8" tint="-0.249977111117893"/>
      </top>
      <bottom style="medium">
        <color theme="0"/>
      </bottom>
      <diagonal/>
    </border>
    <border>
      <left style="dashed">
        <color rgb="FFCBC8C7"/>
      </left>
      <right style="dotted">
        <color rgb="FFC0C0C0"/>
      </right>
      <top/>
      <bottom style="medium">
        <color theme="0"/>
      </bottom>
      <diagonal/>
    </border>
    <border>
      <left/>
      <right style="dotted">
        <color rgb="FFC0C0C0"/>
      </right>
      <top/>
      <bottom style="medium">
        <color theme="0"/>
      </bottom>
      <diagonal/>
    </border>
    <border>
      <left/>
      <right style="medium">
        <color rgb="FFCBC8C7"/>
      </right>
      <top/>
      <bottom/>
      <diagonal/>
    </border>
    <border>
      <left style="dotted">
        <color rgb="FFC0C0C0"/>
      </left>
      <right style="dotted">
        <color rgb="FFC0C0C0"/>
      </right>
      <top style="dotted">
        <color rgb="FFC0C0C0"/>
      </top>
      <bottom style="medium">
        <color theme="0"/>
      </bottom>
      <diagonal/>
    </border>
    <border>
      <left style="dotted">
        <color rgb="FFC0C0C0"/>
      </left>
      <right style="dotted">
        <color rgb="FFC0C0C0"/>
      </right>
      <top/>
      <bottom style="dotted">
        <color rgb="FFC0C0C0"/>
      </bottom>
      <diagonal/>
    </border>
    <border>
      <left style="dotted">
        <color rgb="FFC0C0C0"/>
      </left>
      <right style="dotted">
        <color rgb="FFC0C0C0"/>
      </right>
      <top style="double">
        <color theme="8" tint="-0.249977111117893"/>
      </top>
      <bottom style="dotted">
        <color rgb="FFC0C0C0"/>
      </bottom>
      <diagonal/>
    </border>
    <border>
      <left style="dotted">
        <color rgb="FFC0C0C0"/>
      </left>
      <right style="dotted">
        <color rgb="FFC0C0C0"/>
      </right>
      <top style="dotted">
        <color rgb="FFC0C0C0"/>
      </top>
      <bottom style="double">
        <color theme="8" tint="-0.249977111117893"/>
      </bottom>
      <diagonal/>
    </border>
    <border>
      <left style="dotted">
        <color rgb="FFC0C0C0"/>
      </left>
      <right style="dashed">
        <color rgb="FFC0C0C0"/>
      </right>
      <top style="double">
        <color theme="8" tint="-0.249977111117893"/>
      </top>
      <bottom/>
      <diagonal/>
    </border>
    <border>
      <left style="dotted">
        <color rgb="FFC0C0C0"/>
      </left>
      <right style="dashed">
        <color rgb="FFC0C0C0"/>
      </right>
      <top/>
      <bottom/>
      <diagonal/>
    </border>
    <border>
      <left style="dotted">
        <color rgb="FFC0C0C0"/>
      </left>
      <right style="dotted">
        <color rgb="FFC0C0C0"/>
      </right>
      <top style="dotted">
        <color rgb="FFC0C0C0"/>
      </top>
      <bottom style="medium">
        <color theme="8" tint="-0.249977111117893"/>
      </bottom>
      <diagonal/>
    </border>
    <border>
      <left style="dotted">
        <color rgb="FFC0C0C0"/>
      </left>
      <right style="dashed">
        <color rgb="FFC0C0C0"/>
      </right>
      <top/>
      <bottom style="medium">
        <color theme="8" tint="-0.249977111117893"/>
      </bottom>
      <diagonal/>
    </border>
    <border>
      <left style="dotted">
        <color rgb="FFC0C0C0"/>
      </left>
      <right/>
      <top style="double">
        <color theme="8" tint="-0.249977111117893"/>
      </top>
      <bottom/>
      <diagonal/>
    </border>
    <border>
      <left/>
      <right style="dotted">
        <color rgb="FFC0C0C0"/>
      </right>
      <top style="double">
        <color theme="8" tint="-0.249977111117893"/>
      </top>
      <bottom/>
      <diagonal/>
    </border>
    <border>
      <left style="dotted">
        <color rgb="FFC0C0C0"/>
      </left>
      <right/>
      <top/>
      <bottom style="double">
        <color theme="8" tint="-0.249977111117893"/>
      </bottom>
      <diagonal/>
    </border>
    <border>
      <left/>
      <right style="dotted">
        <color rgb="FFC0C0C0"/>
      </right>
      <top/>
      <bottom style="double">
        <color theme="8" tint="-0.249977111117893"/>
      </bottom>
      <diagonal/>
    </border>
    <border>
      <left style="dotted">
        <color rgb="FFC0C0C0"/>
      </left>
      <right/>
      <top style="dotted">
        <color rgb="FFC0C0C0"/>
      </top>
      <bottom style="medium">
        <color theme="8" tint="-0.249977111117893"/>
      </bottom>
      <diagonal/>
    </border>
    <border>
      <left/>
      <right/>
      <top style="dotted">
        <color rgb="FFC0C0C0"/>
      </top>
      <bottom style="medium">
        <color theme="8" tint="-0.249977111117893"/>
      </bottom>
      <diagonal/>
    </border>
    <border>
      <left/>
      <right style="dotted">
        <color rgb="FFC0C0C0"/>
      </right>
      <top style="dotted">
        <color rgb="FFC0C0C0"/>
      </top>
      <bottom style="medium">
        <color theme="8" tint="-0.249977111117893"/>
      </bottom>
      <diagonal/>
    </border>
    <border>
      <left style="dotted">
        <color rgb="FFC0C0C0"/>
      </left>
      <right/>
      <top style="dotted">
        <color rgb="FFC0C0C0"/>
      </top>
      <bottom style="dotted">
        <color rgb="FFC0C0C0"/>
      </bottom>
      <diagonal/>
    </border>
    <border>
      <left/>
      <right/>
      <top style="dotted">
        <color rgb="FFC0C0C0"/>
      </top>
      <bottom style="dotted">
        <color rgb="FFC0C0C0"/>
      </bottom>
      <diagonal/>
    </border>
    <border>
      <left/>
      <right style="dotted">
        <color rgb="FFC0C0C0"/>
      </right>
      <top style="dotted">
        <color rgb="FFC0C0C0"/>
      </top>
      <bottom style="dotted">
        <color rgb="FFC0C0C0"/>
      </bottom>
      <diagonal/>
    </border>
    <border>
      <left style="dotted">
        <color rgb="FFC0C0C0"/>
      </left>
      <right/>
      <top style="double">
        <color theme="8" tint="-0.249977111117893"/>
      </top>
      <bottom style="dotted">
        <color rgb="FFC0C0C0"/>
      </bottom>
      <diagonal/>
    </border>
    <border>
      <left/>
      <right/>
      <top style="double">
        <color theme="8" tint="-0.249977111117893"/>
      </top>
      <bottom style="dotted">
        <color rgb="FFC0C0C0"/>
      </bottom>
      <diagonal/>
    </border>
    <border>
      <left/>
      <right style="dotted">
        <color rgb="FFC0C0C0"/>
      </right>
      <top style="double">
        <color theme="8" tint="-0.249977111117893"/>
      </top>
      <bottom style="dotted">
        <color rgb="FFC0C0C0"/>
      </bottom>
      <diagonal/>
    </border>
    <border>
      <left style="dotted">
        <color rgb="FFC0C0C0"/>
      </left>
      <right/>
      <top style="double">
        <color theme="0"/>
      </top>
      <bottom/>
      <diagonal/>
    </border>
    <border>
      <left style="dotted">
        <color rgb="FFC0C0C0"/>
      </left>
      <right/>
      <top style="medium">
        <color theme="0"/>
      </top>
      <bottom style="medium">
        <color theme="0"/>
      </bottom>
      <diagonal/>
    </border>
    <border>
      <left/>
      <right/>
      <top style="medium">
        <color theme="0"/>
      </top>
      <bottom style="medium">
        <color theme="0"/>
      </bottom>
      <diagonal/>
    </border>
    <border>
      <left/>
      <right style="thin">
        <color rgb="FFCBC8C7"/>
      </right>
      <top style="medium">
        <color theme="0"/>
      </top>
      <bottom style="medium">
        <color theme="0"/>
      </bottom>
      <diagonal/>
    </border>
    <border>
      <left style="dotted">
        <color rgb="FFC0C0C0"/>
      </left>
      <right style="dotted">
        <color rgb="FFC0C0C0"/>
      </right>
      <top style="dotted">
        <color rgb="FFC0C0C0"/>
      </top>
      <bottom/>
      <diagonal/>
    </border>
    <border>
      <left/>
      <right style="dashed">
        <color rgb="FFCBC8C7"/>
      </right>
      <top style="dashed">
        <color rgb="FFCBC8C7"/>
      </top>
      <bottom/>
      <diagonal/>
    </border>
    <border>
      <left style="dotted">
        <color rgb="FFC0C0C0"/>
      </left>
      <right style="dotted">
        <color rgb="FFC0C0C0"/>
      </right>
      <top style="thin">
        <color rgb="FF808080"/>
      </top>
      <bottom style="dotted">
        <color rgb="FFC0C0C0"/>
      </bottom>
      <diagonal/>
    </border>
    <border>
      <left style="dotted">
        <color rgb="FFC0C0C0"/>
      </left>
      <right style="dashed">
        <color rgb="FFCBC8C7"/>
      </right>
      <top style="thin">
        <color rgb="FF808080"/>
      </top>
      <bottom style="dashed">
        <color rgb="FFCBC8C7"/>
      </bottom>
      <diagonal/>
    </border>
    <border>
      <left style="dashed">
        <color rgb="FFCBC8C7"/>
      </left>
      <right style="dashed">
        <color rgb="FFCBC8C7"/>
      </right>
      <top style="dashed">
        <color rgb="FFCBC8C7"/>
      </top>
      <bottom style="thin">
        <color rgb="FF808080"/>
      </bottom>
      <diagonal/>
    </border>
    <border>
      <left style="dashed">
        <color rgb="FFCBC8C7"/>
      </left>
      <right style="dashed">
        <color rgb="FFCBC8C7"/>
      </right>
      <top style="thin">
        <color rgb="FF808080"/>
      </top>
      <bottom style="dashed">
        <color rgb="FFCBC8C7"/>
      </bottom>
      <diagonal/>
    </border>
  </borders>
  <cellStyleXfs count="1">
    <xf numFmtId="0" fontId="0" fillId="0" borderId="0"/>
  </cellStyleXfs>
  <cellXfs count="311">
    <xf numFmtId="0" fontId="0" fillId="0" borderId="0" xfId="0"/>
    <xf numFmtId="0" fontId="0" fillId="2" borderId="0" xfId="0" applyFill="1"/>
    <xf numFmtId="0" fontId="1" fillId="2" borderId="0" xfId="0" applyFont="1" applyFill="1"/>
    <xf numFmtId="0" fontId="1" fillId="2" borderId="1" xfId="0" applyFont="1" applyFill="1" applyBorder="1"/>
    <xf numFmtId="0" fontId="1" fillId="2" borderId="2" xfId="0" applyFont="1" applyFill="1" applyBorder="1"/>
    <xf numFmtId="0" fontId="1" fillId="2" borderId="3" xfId="0" applyFont="1" applyFill="1" applyBorder="1"/>
    <xf numFmtId="0" fontId="1" fillId="2" borderId="4" xfId="0" applyFont="1" applyFill="1" applyBorder="1"/>
    <xf numFmtId="0" fontId="1" fillId="3" borderId="1" xfId="0" applyFont="1" applyFill="1" applyBorder="1"/>
    <xf numFmtId="0" fontId="1" fillId="3" borderId="2" xfId="0" applyFont="1" applyFill="1" applyBorder="1"/>
    <xf numFmtId="0" fontId="1" fillId="3" borderId="3" xfId="0" applyFont="1" applyFill="1" applyBorder="1"/>
    <xf numFmtId="0" fontId="1" fillId="3" borderId="4" xfId="0" applyFont="1" applyFill="1" applyBorder="1"/>
    <xf numFmtId="0" fontId="1" fillId="3" borderId="0" xfId="0" applyFont="1" applyFill="1"/>
    <xf numFmtId="0" fontId="2" fillId="2" borderId="0" xfId="0" applyFont="1" applyFill="1"/>
    <xf numFmtId="0" fontId="0" fillId="3" borderId="0" xfId="0" applyFill="1"/>
    <xf numFmtId="0" fontId="1" fillId="0" borderId="0" xfId="0" applyFont="1"/>
    <xf numFmtId="0" fontId="3" fillId="2" borderId="0" xfId="0" applyFont="1" applyFill="1"/>
    <xf numFmtId="0" fontId="4" fillId="2" borderId="0" xfId="0" applyFont="1" applyFill="1"/>
    <xf numFmtId="0" fontId="1" fillId="2" borderId="0" xfId="0" quotePrefix="1" applyFont="1" applyFill="1"/>
    <xf numFmtId="0" fontId="0" fillId="4" borderId="5" xfId="0" applyFill="1" applyBorder="1"/>
    <xf numFmtId="0" fontId="0" fillId="4" borderId="6" xfId="0" applyFill="1" applyBorder="1"/>
    <xf numFmtId="0" fontId="0" fillId="4" borderId="7" xfId="0" applyFill="1" applyBorder="1"/>
    <xf numFmtId="0" fontId="0" fillId="4" borderId="8" xfId="0" applyFill="1" applyBorder="1"/>
    <xf numFmtId="0" fontId="0" fillId="4" borderId="9" xfId="0" applyFill="1" applyBorder="1"/>
    <xf numFmtId="164" fontId="6" fillId="0" borderId="10" xfId="0" applyNumberFormat="1" applyFont="1" applyBorder="1" applyAlignment="1">
      <alignment horizontal="center" vertical="center" wrapText="1"/>
    </xf>
    <xf numFmtId="164" fontId="6" fillId="0" borderId="1" xfId="0" applyNumberFormat="1" applyFont="1" applyBorder="1" applyAlignment="1">
      <alignment horizontal="center" vertical="center" wrapText="1"/>
    </xf>
    <xf numFmtId="164" fontId="6" fillId="0" borderId="11" xfId="0" applyNumberFormat="1" applyFont="1" applyBorder="1" applyAlignment="1">
      <alignment horizontal="center" vertical="center" wrapText="1"/>
    </xf>
    <xf numFmtId="0" fontId="5" fillId="0" borderId="12" xfId="0" applyFont="1" applyBorder="1" applyAlignment="1">
      <alignment vertical="center"/>
    </xf>
    <xf numFmtId="0" fontId="0" fillId="4" borderId="16" xfId="0" applyFill="1" applyBorder="1"/>
    <xf numFmtId="164" fontId="5" fillId="0" borderId="1" xfId="0" applyNumberFormat="1" applyFont="1" applyBorder="1" applyAlignment="1">
      <alignment horizontal="center" vertical="center" wrapText="1"/>
    </xf>
    <xf numFmtId="0" fontId="5" fillId="0" borderId="12" xfId="0" applyFont="1" applyBorder="1" applyAlignment="1">
      <alignment vertical="center" wrapText="1"/>
    </xf>
    <xf numFmtId="0" fontId="5" fillId="0" borderId="17" xfId="0" applyFont="1" applyBorder="1" applyAlignment="1">
      <alignment vertical="center" wrapText="1"/>
    </xf>
    <xf numFmtId="164" fontId="6" fillId="0" borderId="18" xfId="0" applyNumberFormat="1" applyFont="1" applyBorder="1" applyAlignment="1">
      <alignment horizontal="center" vertical="center" wrapText="1"/>
    </xf>
    <xf numFmtId="0" fontId="0" fillId="4" borderId="19" xfId="0" applyFill="1" applyBorder="1"/>
    <xf numFmtId="0" fontId="6" fillId="0" borderId="20" xfId="0" quotePrefix="1" applyFont="1" applyBorder="1" applyAlignment="1">
      <alignment horizontal="center" vertical="center" wrapText="1"/>
    </xf>
    <xf numFmtId="0" fontId="5" fillId="0" borderId="22" xfId="0" applyFont="1" applyBorder="1" applyAlignment="1">
      <alignment vertical="center" wrapText="1"/>
    </xf>
    <xf numFmtId="0" fontId="6" fillId="0" borderId="1" xfId="0" quotePrefix="1" applyFont="1" applyBorder="1" applyAlignment="1">
      <alignment horizontal="center" vertical="center" wrapText="1"/>
    </xf>
    <xf numFmtId="0" fontId="5" fillId="0" borderId="25" xfId="0" applyFont="1" applyBorder="1" applyAlignment="1">
      <alignment vertical="center" wrapText="1"/>
    </xf>
    <xf numFmtId="0" fontId="6" fillId="0" borderId="29" xfId="0" quotePrefix="1" applyFont="1" applyBorder="1" applyAlignment="1">
      <alignment horizontal="center" vertical="center" wrapText="1"/>
    </xf>
    <xf numFmtId="0" fontId="5" fillId="0" borderId="32" xfId="0" applyFont="1" applyBorder="1" applyAlignment="1">
      <alignment horizontal="left" vertical="center"/>
    </xf>
    <xf numFmtId="0" fontId="5" fillId="0" borderId="36" xfId="0" applyFont="1" applyBorder="1" applyAlignment="1">
      <alignment horizontal="center" vertical="center" wrapText="1"/>
    </xf>
    <xf numFmtId="0" fontId="5" fillId="0" borderId="37" xfId="0" applyFont="1" applyBorder="1" applyAlignment="1">
      <alignment horizontal="center" vertical="center" wrapText="1"/>
    </xf>
    <xf numFmtId="0" fontId="5" fillId="0" borderId="38" xfId="0" applyFont="1" applyBorder="1" applyAlignment="1">
      <alignment horizontal="left" vertical="center"/>
    </xf>
    <xf numFmtId="0" fontId="0" fillId="4" borderId="40" xfId="0" applyFill="1" applyBorder="1"/>
    <xf numFmtId="0" fontId="0" fillId="2" borderId="1" xfId="0" applyFill="1" applyBorder="1"/>
    <xf numFmtId="0" fontId="9" fillId="6" borderId="9" xfId="0" applyFont="1" applyFill="1" applyBorder="1"/>
    <xf numFmtId="0" fontId="0" fillId="4" borderId="42" xfId="0" applyFill="1" applyBorder="1"/>
    <xf numFmtId="0" fontId="0" fillId="4" borderId="43" xfId="0" applyFill="1" applyBorder="1"/>
    <xf numFmtId="0" fontId="0" fillId="4" borderId="44" xfId="0" applyFill="1" applyBorder="1"/>
    <xf numFmtId="0" fontId="0" fillId="4" borderId="0" xfId="0" applyFill="1"/>
    <xf numFmtId="0" fontId="9" fillId="6" borderId="0" xfId="0" applyFont="1" applyFill="1"/>
    <xf numFmtId="0" fontId="5" fillId="0" borderId="45" xfId="0" applyFont="1" applyBorder="1" applyAlignment="1">
      <alignment horizontal="center" vertical="center" wrapText="1"/>
    </xf>
    <xf numFmtId="0" fontId="5" fillId="0" borderId="47" xfId="0" applyFont="1" applyBorder="1" applyAlignment="1">
      <alignment horizontal="center" vertical="center" wrapText="1"/>
    </xf>
    <xf numFmtId="0" fontId="5" fillId="0" borderId="53" xfId="0" applyFont="1" applyBorder="1" applyAlignment="1">
      <alignment horizontal="center" vertical="center" wrapText="1"/>
    </xf>
    <xf numFmtId="0" fontId="5" fillId="0" borderId="17" xfId="0" applyFont="1" applyBorder="1" applyAlignment="1">
      <alignment vertical="center"/>
    </xf>
    <xf numFmtId="0" fontId="5" fillId="0" borderId="54" xfId="0" applyFont="1" applyBorder="1" applyAlignment="1">
      <alignment vertical="center"/>
    </xf>
    <xf numFmtId="0" fontId="11" fillId="2" borderId="0" xfId="0" applyFont="1" applyFill="1"/>
    <xf numFmtId="0" fontId="4" fillId="2" borderId="0" xfId="0" applyFont="1" applyFill="1" applyAlignment="1">
      <alignment horizontal="right"/>
    </xf>
    <xf numFmtId="0" fontId="1" fillId="2" borderId="0" xfId="0" applyFont="1" applyFill="1" applyAlignment="1">
      <alignment horizontal="center"/>
    </xf>
    <xf numFmtId="0" fontId="4" fillId="2" borderId="0" xfId="0" applyFont="1" applyFill="1" applyAlignment="1">
      <alignment horizontal="center" vertical="center"/>
    </xf>
    <xf numFmtId="0" fontId="4" fillId="2" borderId="0" xfId="0" applyFont="1" applyFill="1" applyAlignment="1">
      <alignment horizontal="center"/>
    </xf>
    <xf numFmtId="0" fontId="1" fillId="2" borderId="0" xfId="0" applyFont="1" applyFill="1" applyAlignment="1">
      <alignment horizontal="right"/>
    </xf>
    <xf numFmtId="0" fontId="1" fillId="2" borderId="0" xfId="0" applyFont="1" applyFill="1" applyAlignment="1">
      <alignment horizontal="left"/>
    </xf>
    <xf numFmtId="165" fontId="1" fillId="2" borderId="1" xfId="0" applyNumberFormat="1" applyFont="1" applyFill="1" applyBorder="1"/>
    <xf numFmtId="0" fontId="13" fillId="2" borderId="0" xfId="0" applyFont="1" applyFill="1"/>
    <xf numFmtId="0" fontId="0" fillId="4" borderId="63" xfId="0" applyFill="1" applyBorder="1"/>
    <xf numFmtId="0" fontId="16" fillId="2" borderId="0" xfId="0" applyFont="1" applyFill="1" applyAlignment="1">
      <alignment vertical="center"/>
    </xf>
    <xf numFmtId="0" fontId="17" fillId="2" borderId="0" xfId="0" applyFont="1" applyFill="1"/>
    <xf numFmtId="0" fontId="18" fillId="2" borderId="0" xfId="0" applyFont="1" applyFill="1"/>
    <xf numFmtId="0" fontId="19" fillId="2" borderId="0" xfId="0" applyFont="1" applyFill="1"/>
    <xf numFmtId="0" fontId="20" fillId="2" borderId="0" xfId="0" applyFont="1" applyFill="1"/>
    <xf numFmtId="0" fontId="21" fillId="2" borderId="0" xfId="0" applyFont="1" applyFill="1" applyAlignment="1">
      <alignment vertical="center"/>
    </xf>
    <xf numFmtId="0" fontId="22" fillId="2" borderId="0" xfId="0" applyFont="1" applyFill="1"/>
    <xf numFmtId="0" fontId="23" fillId="2" borderId="0" xfId="0" applyFont="1" applyFill="1"/>
    <xf numFmtId="0" fontId="12" fillId="2" borderId="0" xfId="0" applyFont="1" applyFill="1"/>
    <xf numFmtId="0" fontId="13" fillId="8" borderId="0" xfId="0" applyFont="1" applyFill="1"/>
    <xf numFmtId="0" fontId="24" fillId="8" borderId="0" xfId="0" applyFont="1" applyFill="1" applyAlignment="1">
      <alignment horizontal="center" vertical="center"/>
    </xf>
    <xf numFmtId="0" fontId="25" fillId="8" borderId="0" xfId="0" applyFont="1" applyFill="1" applyAlignment="1">
      <alignment horizontal="left" vertical="center"/>
    </xf>
    <xf numFmtId="0" fontId="24" fillId="10" borderId="0" xfId="0" applyFont="1" applyFill="1" applyAlignment="1">
      <alignment horizontal="center" vertical="center"/>
    </xf>
    <xf numFmtId="0" fontId="26" fillId="2" borderId="0" xfId="0" applyFont="1" applyFill="1" applyAlignment="1">
      <alignment horizontal="center" vertical="center"/>
    </xf>
    <xf numFmtId="0" fontId="13" fillId="10" borderId="0" xfId="0" applyFont="1" applyFill="1"/>
    <xf numFmtId="0" fontId="27" fillId="10" borderId="0" xfId="0" applyFont="1" applyFill="1"/>
    <xf numFmtId="0" fontId="27" fillId="8" borderId="0" xfId="0" applyFont="1" applyFill="1"/>
    <xf numFmtId="0" fontId="28" fillId="10" borderId="0" xfId="0" applyFont="1" applyFill="1" applyAlignment="1">
      <alignment horizontal="center" vertical="center"/>
    </xf>
    <xf numFmtId="0" fontId="29" fillId="10" borderId="0" xfId="0" applyFont="1" applyFill="1"/>
    <xf numFmtId="0" fontId="30" fillId="10" borderId="0" xfId="0" applyFont="1" applyFill="1"/>
    <xf numFmtId="0" fontId="5" fillId="0" borderId="26" xfId="0" applyFont="1" applyBorder="1" applyAlignment="1">
      <alignment horizontal="left" vertical="center" wrapText="1"/>
    </xf>
    <xf numFmtId="0" fontId="1" fillId="2" borderId="0" xfId="0" quotePrefix="1" applyFont="1" applyFill="1" applyAlignment="1">
      <alignment horizontal="left"/>
    </xf>
    <xf numFmtId="0" fontId="4" fillId="2" borderId="0" xfId="0" quotePrefix="1" applyFont="1" applyFill="1"/>
    <xf numFmtId="2" fontId="1" fillId="2" borderId="1" xfId="0" applyNumberFormat="1" applyFont="1" applyFill="1" applyBorder="1"/>
    <xf numFmtId="0" fontId="6" fillId="11" borderId="31" xfId="0" applyFont="1" applyFill="1" applyBorder="1" applyAlignment="1">
      <alignment horizontal="center" vertical="center" wrapText="1"/>
    </xf>
    <xf numFmtId="0" fontId="6" fillId="11" borderId="30" xfId="0" applyFont="1" applyFill="1" applyBorder="1" applyAlignment="1">
      <alignment horizontal="center" vertical="center" wrapText="1"/>
    </xf>
    <xf numFmtId="0" fontId="6" fillId="11" borderId="29" xfId="0" applyFont="1" applyFill="1" applyBorder="1" applyAlignment="1">
      <alignment horizontal="center" vertical="center" wrapText="1"/>
    </xf>
    <xf numFmtId="0" fontId="6" fillId="11" borderId="2" xfId="0" applyFont="1" applyFill="1" applyBorder="1" applyAlignment="1">
      <alignment horizontal="center" vertical="center" wrapText="1"/>
    </xf>
    <xf numFmtId="0" fontId="6" fillId="11" borderId="1" xfId="0" applyFont="1" applyFill="1" applyBorder="1" applyAlignment="1">
      <alignment horizontal="center" vertical="center" wrapText="1"/>
    </xf>
    <xf numFmtId="0" fontId="6" fillId="11" borderId="1" xfId="0" applyFont="1" applyFill="1" applyBorder="1" applyAlignment="1">
      <alignment horizontal="center" wrapText="1"/>
    </xf>
    <xf numFmtId="0" fontId="6" fillId="11" borderId="21" xfId="0" applyFont="1" applyFill="1" applyBorder="1" applyAlignment="1">
      <alignment horizontal="center" vertical="center" wrapText="1"/>
    </xf>
    <xf numFmtId="0" fontId="6" fillId="11" borderId="20" xfId="0" applyFont="1" applyFill="1" applyBorder="1" applyAlignment="1">
      <alignment horizontal="center" vertical="center" wrapText="1"/>
    </xf>
    <xf numFmtId="0" fontId="6" fillId="11" borderId="20" xfId="0" applyFont="1" applyFill="1" applyBorder="1" applyAlignment="1">
      <alignment horizontal="center" wrapText="1"/>
    </xf>
    <xf numFmtId="0" fontId="6" fillId="11" borderId="10" xfId="0" applyFont="1" applyFill="1" applyBorder="1" applyAlignment="1">
      <alignment horizontal="center" wrapText="1"/>
    </xf>
    <xf numFmtId="0" fontId="6" fillId="9" borderId="2" xfId="0" applyFont="1" applyFill="1" applyBorder="1" applyAlignment="1">
      <alignment horizontal="center" vertical="center" wrapText="1"/>
    </xf>
    <xf numFmtId="0" fontId="6" fillId="9" borderId="1" xfId="0" applyFont="1" applyFill="1" applyBorder="1" applyAlignment="1">
      <alignment horizontal="center" vertical="center" wrapText="1"/>
    </xf>
    <xf numFmtId="0" fontId="6" fillId="9" borderId="11" xfId="0" applyFont="1" applyFill="1" applyBorder="1" applyAlignment="1">
      <alignment horizontal="center" vertical="center" wrapText="1"/>
    </xf>
    <xf numFmtId="164" fontId="5" fillId="0" borderId="46" xfId="0" applyNumberFormat="1" applyFont="1" applyBorder="1" applyAlignment="1">
      <alignment horizontal="center" vertical="center" wrapText="1"/>
    </xf>
    <xf numFmtId="0" fontId="0" fillId="4" borderId="65" xfId="0" applyFill="1" applyBorder="1"/>
    <xf numFmtId="0" fontId="0" fillId="2" borderId="6" xfId="0" applyFill="1" applyBorder="1"/>
    <xf numFmtId="0" fontId="1" fillId="2" borderId="6" xfId="0" applyFont="1" applyFill="1" applyBorder="1"/>
    <xf numFmtId="0" fontId="1" fillId="2" borderId="6" xfId="0" quotePrefix="1" applyFont="1" applyFill="1" applyBorder="1"/>
    <xf numFmtId="0" fontId="4" fillId="2" borderId="6" xfId="0" applyFont="1" applyFill="1" applyBorder="1"/>
    <xf numFmtId="0" fontId="1" fillId="12" borderId="0" xfId="0" applyFont="1" applyFill="1"/>
    <xf numFmtId="0" fontId="4" fillId="12" borderId="0" xfId="0" applyFont="1" applyFill="1"/>
    <xf numFmtId="0" fontId="1" fillId="12" borderId="0" xfId="0" applyFont="1" applyFill="1" applyAlignment="1">
      <alignment horizontal="center"/>
    </xf>
    <xf numFmtId="0" fontId="0" fillId="12" borderId="0" xfId="0" applyFill="1"/>
    <xf numFmtId="0" fontId="1" fillId="12" borderId="0" xfId="0" applyFont="1" applyFill="1" applyAlignment="1">
      <alignment horizontal="right"/>
    </xf>
    <xf numFmtId="0" fontId="1" fillId="12" borderId="0" xfId="0" applyFont="1" applyFill="1" applyAlignment="1">
      <alignment horizontal="left"/>
    </xf>
    <xf numFmtId="0" fontId="1" fillId="12" borderId="0" xfId="0" quotePrefix="1" applyFont="1" applyFill="1" applyAlignment="1">
      <alignment horizontal="left"/>
    </xf>
    <xf numFmtId="0" fontId="2" fillId="12" borderId="6" xfId="0" applyFont="1" applyFill="1" applyBorder="1"/>
    <xf numFmtId="0" fontId="2" fillId="12" borderId="6" xfId="0" quotePrefix="1" applyFont="1" applyFill="1" applyBorder="1"/>
    <xf numFmtId="0" fontId="3" fillId="12" borderId="0" xfId="0" applyFont="1" applyFill="1"/>
    <xf numFmtId="0" fontId="2" fillId="12" borderId="0" xfId="0" applyFont="1" applyFill="1"/>
    <xf numFmtId="0" fontId="2" fillId="12" borderId="0" xfId="0" applyFont="1" applyFill="1" applyAlignment="1">
      <alignment horizontal="center"/>
    </xf>
    <xf numFmtId="0" fontId="31" fillId="12" borderId="0" xfId="0" applyFont="1" applyFill="1"/>
    <xf numFmtId="0" fontId="1" fillId="2" borderId="67" xfId="0" applyFont="1" applyFill="1" applyBorder="1"/>
    <xf numFmtId="0" fontId="0" fillId="2" borderId="67" xfId="0" applyFill="1" applyBorder="1"/>
    <xf numFmtId="0" fontId="0" fillId="13" borderId="0" xfId="0" applyFill="1"/>
    <xf numFmtId="0" fontId="1" fillId="2" borderId="68" xfId="0" applyFont="1" applyFill="1" applyBorder="1"/>
    <xf numFmtId="0" fontId="0" fillId="2" borderId="68" xfId="0" applyFill="1" applyBorder="1"/>
    <xf numFmtId="0" fontId="1" fillId="13" borderId="0" xfId="0" applyFont="1" applyFill="1"/>
    <xf numFmtId="0" fontId="2" fillId="13" borderId="0" xfId="0" applyFont="1" applyFill="1"/>
    <xf numFmtId="0" fontId="1" fillId="13" borderId="1" xfId="0" applyFont="1" applyFill="1" applyBorder="1"/>
    <xf numFmtId="0" fontId="1" fillId="13" borderId="67" xfId="0" applyFont="1" applyFill="1" applyBorder="1"/>
    <xf numFmtId="0" fontId="0" fillId="13" borderId="67" xfId="0" applyFill="1" applyBorder="1"/>
    <xf numFmtId="165" fontId="1" fillId="13" borderId="1" xfId="0" applyNumberFormat="1" applyFont="1" applyFill="1" applyBorder="1"/>
    <xf numFmtId="0" fontId="1" fillId="13" borderId="0" xfId="0" applyFont="1" applyFill="1" applyAlignment="1">
      <alignment horizontal="center"/>
    </xf>
    <xf numFmtId="0" fontId="1" fillId="13" borderId="0" xfId="0" quotePrefix="1" applyFont="1" applyFill="1"/>
    <xf numFmtId="0" fontId="0" fillId="2" borderId="69" xfId="0" applyFill="1" applyBorder="1"/>
    <xf numFmtId="0" fontId="0" fillId="2" borderId="70" xfId="0" applyFill="1" applyBorder="1"/>
    <xf numFmtId="0" fontId="1" fillId="2" borderId="71" xfId="0" applyFont="1" applyFill="1" applyBorder="1"/>
    <xf numFmtId="0" fontId="1" fillId="13" borderId="4" xfId="0" applyFont="1" applyFill="1" applyBorder="1"/>
    <xf numFmtId="0" fontId="1" fillId="13" borderId="3" xfId="0" applyFont="1" applyFill="1" applyBorder="1"/>
    <xf numFmtId="0" fontId="1" fillId="13" borderId="2" xfId="0" applyFont="1" applyFill="1" applyBorder="1"/>
    <xf numFmtId="0" fontId="1" fillId="14" borderId="6" xfId="0" applyFont="1" applyFill="1" applyBorder="1"/>
    <xf numFmtId="0" fontId="0" fillId="14" borderId="6" xfId="0" applyFill="1" applyBorder="1"/>
    <xf numFmtId="0" fontId="1" fillId="2" borderId="72" xfId="0" applyFont="1" applyFill="1" applyBorder="1"/>
    <xf numFmtId="0" fontId="4" fillId="2" borderId="72" xfId="0" applyFont="1" applyFill="1" applyBorder="1"/>
    <xf numFmtId="0" fontId="0" fillId="2" borderId="72" xfId="0" applyFill="1" applyBorder="1"/>
    <xf numFmtId="0" fontId="11" fillId="2" borderId="72" xfId="0" applyFont="1" applyFill="1" applyBorder="1"/>
    <xf numFmtId="0" fontId="1" fillId="2" borderId="72" xfId="0" applyFont="1" applyFill="1" applyBorder="1" applyAlignment="1">
      <alignment horizontal="right"/>
    </xf>
    <xf numFmtId="0" fontId="5" fillId="5" borderId="41" xfId="0" applyFont="1" applyFill="1" applyBorder="1" applyAlignment="1">
      <alignment horizontal="center" vertical="top"/>
    </xf>
    <xf numFmtId="0" fontId="33" fillId="0" borderId="0" xfId="0" applyFont="1" applyAlignment="1">
      <alignment vertical="center"/>
    </xf>
    <xf numFmtId="0" fontId="9" fillId="6" borderId="16" xfId="0" applyFont="1" applyFill="1" applyBorder="1"/>
    <xf numFmtId="0" fontId="0" fillId="2" borderId="9" xfId="0" applyFill="1" applyBorder="1"/>
    <xf numFmtId="0" fontId="0" fillId="2" borderId="5" xfId="0" applyFill="1" applyBorder="1"/>
    <xf numFmtId="0" fontId="5" fillId="0" borderId="103" xfId="0" applyFont="1" applyBorder="1" applyAlignment="1">
      <alignment horizontal="center" vertical="center" wrapText="1"/>
    </xf>
    <xf numFmtId="0" fontId="6" fillId="2" borderId="0" xfId="0" applyFont="1" applyFill="1" applyAlignment="1">
      <alignment horizontal="center" vertical="center"/>
    </xf>
    <xf numFmtId="0" fontId="6" fillId="2" borderId="0" xfId="0" applyFont="1" applyFill="1" applyAlignment="1">
      <alignment horizontal="left" vertical="center"/>
    </xf>
    <xf numFmtId="0" fontId="6" fillId="2" borderId="0" xfId="0" applyFont="1" applyFill="1" applyAlignment="1">
      <alignment vertical="top"/>
    </xf>
    <xf numFmtId="0" fontId="6" fillId="2" borderId="0" xfId="0" applyFont="1" applyFill="1"/>
    <xf numFmtId="0" fontId="6" fillId="2" borderId="0" xfId="0" applyFont="1" applyFill="1" applyAlignment="1">
      <alignment vertical="top" wrapText="1"/>
    </xf>
    <xf numFmtId="0" fontId="34" fillId="4" borderId="55" xfId="0" applyFont="1" applyFill="1" applyBorder="1" applyAlignment="1">
      <alignment horizontal="center"/>
    </xf>
    <xf numFmtId="0" fontId="35" fillId="4" borderId="55" xfId="0" applyFont="1" applyFill="1" applyBorder="1" applyAlignment="1">
      <alignment horizontal="center" wrapText="1"/>
    </xf>
    <xf numFmtId="0" fontId="35" fillId="4" borderId="56" xfId="0" applyFont="1" applyFill="1" applyBorder="1" applyAlignment="1">
      <alignment wrapText="1"/>
    </xf>
    <xf numFmtId="0" fontId="35" fillId="6" borderId="55" xfId="0" applyFont="1" applyFill="1" applyBorder="1" applyAlignment="1">
      <alignment horizontal="center"/>
    </xf>
    <xf numFmtId="0" fontId="35" fillId="6" borderId="57" xfId="0" applyFont="1" applyFill="1" applyBorder="1" applyAlignment="1">
      <alignment horizontal="center"/>
    </xf>
    <xf numFmtId="0" fontId="35" fillId="6" borderId="58" xfId="0" applyFont="1" applyFill="1" applyBorder="1" applyAlignment="1">
      <alignment horizontal="left"/>
    </xf>
    <xf numFmtId="0" fontId="35" fillId="4" borderId="55" xfId="0" applyFont="1" applyFill="1" applyBorder="1"/>
    <xf numFmtId="0" fontId="35" fillId="4" borderId="59" xfId="0" applyFont="1" applyFill="1" applyBorder="1"/>
    <xf numFmtId="0" fontId="37" fillId="2" borderId="0" xfId="0" applyFont="1" applyFill="1"/>
    <xf numFmtId="0" fontId="38" fillId="4" borderId="56" xfId="0" applyFont="1" applyFill="1" applyBorder="1" applyAlignment="1">
      <alignment horizontal="center" wrapText="1"/>
    </xf>
    <xf numFmtId="0" fontId="5" fillId="0" borderId="92" xfId="0" applyFont="1" applyBorder="1" applyAlignment="1">
      <alignment horizontal="center" vertical="top"/>
    </xf>
    <xf numFmtId="0" fontId="5" fillId="0" borderId="105" xfId="0" applyFont="1" applyBorder="1" applyAlignment="1">
      <alignment horizontal="center" vertical="top"/>
    </xf>
    <xf numFmtId="0" fontId="40" fillId="0" borderId="75" xfId="0" applyFont="1" applyBorder="1" applyAlignment="1">
      <alignment horizontal="center" vertical="center" wrapText="1"/>
    </xf>
    <xf numFmtId="0" fontId="40" fillId="0" borderId="85" xfId="0" applyFont="1" applyBorder="1" applyAlignment="1">
      <alignment horizontal="center" vertical="center" wrapText="1"/>
    </xf>
    <xf numFmtId="0" fontId="40" fillId="0" borderId="104" xfId="0" applyFont="1" applyBorder="1" applyAlignment="1">
      <alignment horizontal="center" vertical="center" wrapText="1"/>
    </xf>
    <xf numFmtId="0" fontId="40" fillId="0" borderId="100" xfId="0" applyFont="1" applyBorder="1" applyAlignment="1">
      <alignment horizontal="left" vertical="center"/>
    </xf>
    <xf numFmtId="0" fontId="37" fillId="11" borderId="76" xfId="0" applyFont="1" applyFill="1" applyBorder="1" applyAlignment="1">
      <alignment horizontal="center" vertical="center" wrapText="1"/>
    </xf>
    <xf numFmtId="0" fontId="37" fillId="11" borderId="0" xfId="0" applyFont="1" applyFill="1" applyAlignment="1">
      <alignment horizontal="center" vertical="center" wrapText="1"/>
    </xf>
    <xf numFmtId="0" fontId="37" fillId="11" borderId="101" xfId="0" applyFont="1" applyFill="1" applyBorder="1" applyAlignment="1">
      <alignment horizontal="center" vertical="center" wrapText="1"/>
    </xf>
    <xf numFmtId="0" fontId="37" fillId="0" borderId="102" xfId="0" quotePrefix="1" applyFont="1" applyBorder="1" applyAlignment="1">
      <alignment horizontal="center" vertical="center" wrapText="1"/>
    </xf>
    <xf numFmtId="0" fontId="40" fillId="0" borderId="87" xfId="0" applyFont="1" applyBorder="1" applyAlignment="1">
      <alignment horizontal="left" vertical="center" wrapText="1"/>
    </xf>
    <xf numFmtId="0" fontId="37" fillId="9" borderId="2" xfId="0" applyFont="1" applyFill="1" applyBorder="1" applyAlignment="1">
      <alignment horizontal="center" vertical="center" wrapText="1"/>
    </xf>
    <xf numFmtId="0" fontId="37" fillId="9" borderId="1" xfId="0" applyFont="1" applyFill="1" applyBorder="1" applyAlignment="1">
      <alignment horizontal="center" vertical="center" wrapText="1"/>
    </xf>
    <xf numFmtId="0" fontId="37" fillId="0" borderId="93" xfId="0" quotePrefix="1" applyFont="1" applyBorder="1" applyAlignment="1">
      <alignment horizontal="center" vertical="center" wrapText="1"/>
    </xf>
    <xf numFmtId="0" fontId="40" fillId="0" borderId="132" xfId="0" applyFont="1" applyBorder="1" applyAlignment="1">
      <alignment horizontal="left" vertical="center" wrapText="1"/>
    </xf>
    <xf numFmtId="0" fontId="37" fillId="9" borderId="133" xfId="0" applyFont="1" applyFill="1" applyBorder="1" applyAlignment="1">
      <alignment horizontal="center" vertical="center" wrapText="1"/>
    </xf>
    <xf numFmtId="0" fontId="37" fillId="9" borderId="136" xfId="0" applyFont="1" applyFill="1" applyBorder="1" applyAlignment="1">
      <alignment horizontal="center" vertical="center" wrapText="1"/>
    </xf>
    <xf numFmtId="0" fontId="37" fillId="9" borderId="46" xfId="0" applyFont="1" applyFill="1" applyBorder="1" applyAlignment="1">
      <alignment horizontal="center" vertical="center" wrapText="1"/>
    </xf>
    <xf numFmtId="0" fontId="40" fillId="4" borderId="134" xfId="0" applyFont="1" applyFill="1" applyBorder="1" applyAlignment="1">
      <alignment horizontal="left" vertical="center" wrapText="1"/>
    </xf>
    <xf numFmtId="0" fontId="37" fillId="9" borderId="135" xfId="0" applyFont="1" applyFill="1" applyBorder="1" applyAlignment="1">
      <alignment horizontal="center" vertical="center" wrapText="1"/>
    </xf>
    <xf numFmtId="0" fontId="37" fillId="9" borderId="18" xfId="0" applyFont="1" applyFill="1" applyBorder="1" applyAlignment="1">
      <alignment horizontal="center" vertical="center" wrapText="1"/>
    </xf>
    <xf numFmtId="0" fontId="37" fillId="9" borderId="137" xfId="0" applyFont="1" applyFill="1" applyBorder="1" applyAlignment="1">
      <alignment horizontal="center" vertical="center" wrapText="1"/>
    </xf>
    <xf numFmtId="0" fontId="37" fillId="4" borderId="93" xfId="0" quotePrefix="1" applyFont="1" applyFill="1" applyBorder="1" applyAlignment="1">
      <alignment horizontal="center" vertical="center" wrapText="1"/>
    </xf>
    <xf numFmtId="0" fontId="40" fillId="0" borderId="80" xfId="0" applyFont="1" applyBorder="1" applyAlignment="1">
      <alignment vertical="center" wrapText="1"/>
    </xf>
    <xf numFmtId="1" fontId="40" fillId="12" borderId="80" xfId="0" applyNumberFormat="1" applyFont="1" applyFill="1" applyBorder="1" applyAlignment="1">
      <alignment horizontal="center" vertical="center" wrapText="1"/>
    </xf>
    <xf numFmtId="0" fontId="37" fillId="11" borderId="10" xfId="0" applyFont="1" applyFill="1" applyBorder="1" applyAlignment="1">
      <alignment horizontal="center" wrapText="1"/>
    </xf>
    <xf numFmtId="164" fontId="40" fillId="4" borderId="94" xfId="0" applyNumberFormat="1" applyFont="1" applyFill="1" applyBorder="1" applyAlignment="1">
      <alignment horizontal="center" vertical="center" wrapText="1"/>
    </xf>
    <xf numFmtId="0" fontId="40" fillId="0" borderId="95" xfId="0" applyFont="1" applyBorder="1" applyAlignment="1">
      <alignment vertical="center" wrapText="1"/>
    </xf>
    <xf numFmtId="0" fontId="40" fillId="0" borderId="23" xfId="0" applyFont="1" applyBorder="1" applyAlignment="1">
      <alignment vertical="center" wrapText="1"/>
    </xf>
    <xf numFmtId="0" fontId="40" fillId="0" borderId="52" xfId="0" applyFont="1" applyBorder="1" applyAlignment="1">
      <alignment vertical="center" wrapText="1"/>
    </xf>
    <xf numFmtId="0" fontId="40" fillId="0" borderId="22" xfId="0" applyFont="1" applyBorder="1" applyAlignment="1">
      <alignment vertical="center" wrapText="1"/>
    </xf>
    <xf numFmtId="0" fontId="37" fillId="11" borderId="77" xfId="0" applyFont="1" applyFill="1" applyBorder="1" applyAlignment="1">
      <alignment horizontal="center" vertical="center" wrapText="1"/>
    </xf>
    <xf numFmtId="0" fontId="37" fillId="11" borderId="78" xfId="0" applyFont="1" applyFill="1" applyBorder="1" applyAlignment="1">
      <alignment horizontal="center" vertical="center" wrapText="1"/>
    </xf>
    <xf numFmtId="0" fontId="37" fillId="11" borderId="78" xfId="0" applyFont="1" applyFill="1" applyBorder="1" applyAlignment="1">
      <alignment horizontal="center" wrapText="1"/>
    </xf>
    <xf numFmtId="0" fontId="37" fillId="11" borderId="79" xfId="0" applyFont="1" applyFill="1" applyBorder="1" applyAlignment="1">
      <alignment horizontal="center" wrapText="1"/>
    </xf>
    <xf numFmtId="0" fontId="37" fillId="0" borderId="96" xfId="0" quotePrefix="1" applyFont="1" applyBorder="1" applyAlignment="1">
      <alignment horizontal="center" vertical="center" wrapText="1"/>
    </xf>
    <xf numFmtId="0" fontId="40" fillId="0" borderId="17" xfId="0" applyFont="1" applyBorder="1" applyAlignment="1">
      <alignment vertical="center" wrapText="1"/>
    </xf>
    <xf numFmtId="166" fontId="37" fillId="0" borderId="11" xfId="0" applyNumberFormat="1" applyFont="1" applyBorder="1" applyAlignment="1">
      <alignment horizontal="center" vertical="center" wrapText="1"/>
    </xf>
    <xf numFmtId="166" fontId="37" fillId="0" borderId="1" xfId="0" applyNumberFormat="1" applyFont="1" applyBorder="1" applyAlignment="1">
      <alignment horizontal="center" vertical="center" wrapText="1"/>
    </xf>
    <xf numFmtId="164" fontId="37" fillId="0" borderId="1" xfId="0" applyNumberFormat="1" applyFont="1" applyBorder="1" applyAlignment="1">
      <alignment horizontal="center" vertical="center" wrapText="1"/>
    </xf>
    <xf numFmtId="164" fontId="40" fillId="0" borderId="93" xfId="0" applyNumberFormat="1" applyFont="1" applyBorder="1" applyAlignment="1">
      <alignment horizontal="center" vertical="center" wrapText="1"/>
    </xf>
    <xf numFmtId="164" fontId="37" fillId="0" borderId="11" xfId="0" applyNumberFormat="1" applyFont="1" applyBorder="1" applyAlignment="1">
      <alignment horizontal="center" vertical="center" wrapText="1"/>
    </xf>
    <xf numFmtId="0" fontId="40" fillId="4" borderId="17" xfId="0" applyFont="1" applyFill="1" applyBorder="1" applyAlignment="1">
      <alignment vertical="center" wrapText="1"/>
    </xf>
    <xf numFmtId="166" fontId="37" fillId="4" borderId="11" xfId="0" applyNumberFormat="1" applyFont="1" applyFill="1" applyBorder="1" applyAlignment="1">
      <alignment horizontal="center" vertical="center" wrapText="1"/>
    </xf>
    <xf numFmtId="164" fontId="37" fillId="4" borderId="11" xfId="0" applyNumberFormat="1" applyFont="1" applyFill="1" applyBorder="1" applyAlignment="1">
      <alignment horizontal="center" vertical="center" wrapText="1"/>
    </xf>
    <xf numFmtId="164" fontId="40" fillId="4" borderId="93" xfId="0" applyNumberFormat="1" applyFont="1" applyFill="1" applyBorder="1" applyAlignment="1">
      <alignment horizontal="center" vertical="center" wrapText="1"/>
    </xf>
    <xf numFmtId="166" fontId="37" fillId="4" borderId="1" xfId="0" applyNumberFormat="1" applyFont="1" applyFill="1" applyBorder="1" applyAlignment="1">
      <alignment horizontal="center" vertical="center" wrapText="1"/>
    </xf>
    <xf numFmtId="164" fontId="37" fillId="4" borderId="1" xfId="0" applyNumberFormat="1" applyFont="1" applyFill="1" applyBorder="1" applyAlignment="1">
      <alignment horizontal="center" vertical="center" wrapText="1"/>
    </xf>
    <xf numFmtId="0" fontId="40" fillId="4" borderId="12" xfId="0" applyFont="1" applyFill="1" applyBorder="1" applyAlignment="1">
      <alignment vertical="center" wrapText="1"/>
    </xf>
    <xf numFmtId="0" fontId="40" fillId="4" borderId="12" xfId="0" applyFont="1" applyFill="1" applyBorder="1" applyAlignment="1">
      <alignment vertical="center"/>
    </xf>
    <xf numFmtId="164" fontId="37" fillId="4" borderId="46" xfId="0" applyNumberFormat="1" applyFont="1" applyFill="1" applyBorder="1" applyAlignment="1">
      <alignment horizontal="center" vertical="center" wrapText="1"/>
    </xf>
    <xf numFmtId="164" fontId="40" fillId="4" borderId="98" xfId="0" applyNumberFormat="1" applyFont="1" applyFill="1" applyBorder="1" applyAlignment="1">
      <alignment horizontal="center" vertical="center" wrapText="1"/>
    </xf>
    <xf numFmtId="0" fontId="40" fillId="4" borderId="73" xfId="0" applyFont="1" applyFill="1" applyBorder="1" applyAlignment="1">
      <alignment vertical="center"/>
    </xf>
    <xf numFmtId="166" fontId="37" fillId="4" borderId="0" xfId="0" applyNumberFormat="1" applyFont="1" applyFill="1" applyAlignment="1">
      <alignment horizontal="center" vertical="center" wrapText="1"/>
    </xf>
    <xf numFmtId="164" fontId="37" fillId="4" borderId="0" xfId="0" applyNumberFormat="1" applyFont="1" applyFill="1" applyAlignment="1">
      <alignment horizontal="center" vertical="center" wrapText="1"/>
    </xf>
    <xf numFmtId="0" fontId="40" fillId="4" borderId="82" xfId="0" applyFont="1" applyFill="1" applyBorder="1" applyAlignment="1">
      <alignment vertical="center"/>
    </xf>
    <xf numFmtId="166" fontId="37" fillId="4" borderId="83" xfId="0" applyNumberFormat="1" applyFont="1" applyFill="1" applyBorder="1" applyAlignment="1">
      <alignment horizontal="center" vertical="center" wrapText="1"/>
    </xf>
    <xf numFmtId="164" fontId="37" fillId="4" borderId="83" xfId="0" applyNumberFormat="1" applyFont="1" applyFill="1" applyBorder="1" applyAlignment="1">
      <alignment horizontal="center" vertical="center" wrapText="1"/>
    </xf>
    <xf numFmtId="0" fontId="40" fillId="4" borderId="109" xfId="0" applyFont="1" applyFill="1" applyBorder="1" applyAlignment="1">
      <alignment horizontal="center" vertical="center"/>
    </xf>
    <xf numFmtId="0" fontId="40" fillId="4" borderId="128" xfId="0" applyFont="1" applyFill="1" applyBorder="1" applyAlignment="1">
      <alignment horizontal="center" vertical="center" wrapText="1"/>
    </xf>
    <xf numFmtId="0" fontId="40" fillId="4" borderId="110" xfId="0" applyFont="1" applyFill="1" applyBorder="1" applyAlignment="1">
      <alignment horizontal="center" vertical="center"/>
    </xf>
    <xf numFmtId="0" fontId="40" fillId="4" borderId="117" xfId="0" applyFont="1" applyFill="1" applyBorder="1" applyAlignment="1">
      <alignment horizontal="center" vertical="center" wrapText="1"/>
    </xf>
    <xf numFmtId="0" fontId="37" fillId="4" borderId="125" xfId="0" applyFont="1" applyFill="1" applyBorder="1" applyAlignment="1">
      <alignment horizontal="left"/>
    </xf>
    <xf numFmtId="0" fontId="37" fillId="4" borderId="126" xfId="0" applyFont="1" applyFill="1" applyBorder="1" applyAlignment="1">
      <alignment horizontal="left"/>
    </xf>
    <xf numFmtId="0" fontId="37" fillId="4" borderId="127" xfId="0" applyFont="1" applyFill="1" applyBorder="1" applyAlignment="1">
      <alignment horizontal="left"/>
    </xf>
    <xf numFmtId="0" fontId="37" fillId="4" borderId="108" xfId="0" applyFont="1" applyFill="1" applyBorder="1" applyAlignment="1">
      <alignment horizontal="center" vertical="center"/>
    </xf>
    <xf numFmtId="0" fontId="37" fillId="4" borderId="122" xfId="0" applyFont="1" applyFill="1" applyBorder="1" applyAlignment="1">
      <alignment horizontal="left"/>
    </xf>
    <xf numFmtId="0" fontId="37" fillId="4" borderId="123" xfId="0" applyFont="1" applyFill="1" applyBorder="1" applyAlignment="1">
      <alignment horizontal="left"/>
    </xf>
    <xf numFmtId="0" fontId="37" fillId="4" borderId="124" xfId="0" applyFont="1" applyFill="1" applyBorder="1" applyAlignment="1">
      <alignment horizontal="left"/>
    </xf>
    <xf numFmtId="0" fontId="37" fillId="4" borderId="87" xfId="0" applyFont="1" applyFill="1" applyBorder="1" applyAlignment="1">
      <alignment horizontal="center" vertical="center"/>
    </xf>
    <xf numFmtId="0" fontId="37" fillId="4" borderId="119" xfId="0" applyFont="1" applyFill="1" applyBorder="1" applyAlignment="1">
      <alignment horizontal="left"/>
    </xf>
    <xf numFmtId="0" fontId="37" fillId="4" borderId="120" xfId="0" applyFont="1" applyFill="1" applyBorder="1" applyAlignment="1">
      <alignment horizontal="left"/>
    </xf>
    <xf numFmtId="0" fontId="37" fillId="4" borderId="121" xfId="0" applyFont="1" applyFill="1" applyBorder="1" applyAlignment="1">
      <alignment horizontal="left"/>
    </xf>
    <xf numFmtId="0" fontId="37" fillId="4" borderId="107" xfId="0" applyFont="1" applyFill="1" applyBorder="1" applyAlignment="1">
      <alignment horizontal="center" vertical="center"/>
    </xf>
    <xf numFmtId="0" fontId="37" fillId="4" borderId="113" xfId="0" applyFont="1" applyFill="1" applyBorder="1" applyAlignment="1">
      <alignment horizontal="center" vertical="center"/>
    </xf>
    <xf numFmtId="0" fontId="35" fillId="2" borderId="0" xfId="0" applyFont="1" applyFill="1"/>
    <xf numFmtId="0" fontId="37" fillId="4" borderId="88" xfId="0" applyFont="1" applyFill="1" applyBorder="1" applyAlignment="1">
      <alignment horizontal="left"/>
    </xf>
    <xf numFmtId="0" fontId="37" fillId="4" borderId="89" xfId="0" applyFont="1" applyFill="1" applyBorder="1" applyAlignment="1">
      <alignment horizontal="left"/>
    </xf>
    <xf numFmtId="0" fontId="37" fillId="4" borderId="90" xfId="0" applyFont="1" applyFill="1" applyBorder="1" applyAlignment="1">
      <alignment horizontal="left"/>
    </xf>
    <xf numFmtId="0" fontId="37" fillId="4" borderId="132" xfId="0" applyFont="1" applyFill="1" applyBorder="1" applyAlignment="1">
      <alignment horizontal="center" vertical="center"/>
    </xf>
    <xf numFmtId="0" fontId="44" fillId="0" borderId="0" xfId="0" quotePrefix="1" applyFont="1" applyAlignment="1">
      <alignment horizontal="center"/>
    </xf>
    <xf numFmtId="0" fontId="33" fillId="4" borderId="55" xfId="0" applyFont="1" applyFill="1" applyBorder="1" applyAlignment="1">
      <alignment horizontal="center" wrapText="1"/>
    </xf>
    <xf numFmtId="0" fontId="14" fillId="2" borderId="0" xfId="0" applyFont="1" applyFill="1" applyAlignment="1">
      <alignment horizontal="right" vertical="top" wrapText="1" indent="5"/>
    </xf>
    <xf numFmtId="0" fontId="15" fillId="2" borderId="0" xfId="0" applyFont="1" applyFill="1" applyAlignment="1">
      <alignment horizontal="right" vertical="top" indent="5"/>
    </xf>
    <xf numFmtId="0" fontId="5" fillId="0" borderId="49" xfId="0" applyFont="1" applyBorder="1" applyAlignment="1">
      <alignment horizontal="center" vertical="center" wrapText="1"/>
    </xf>
    <xf numFmtId="0" fontId="5" fillId="0" borderId="50" xfId="0" applyFont="1" applyBorder="1" applyAlignment="1">
      <alignment horizontal="center" vertical="center" wrapText="1"/>
    </xf>
    <xf numFmtId="0" fontId="5" fillId="0" borderId="51" xfId="0" applyFont="1" applyBorder="1" applyAlignment="1">
      <alignment horizontal="center" vertical="center" wrapText="1"/>
    </xf>
    <xf numFmtId="0" fontId="5" fillId="0" borderId="24" xfId="0" applyFont="1" applyBorder="1" applyAlignment="1">
      <alignment horizontal="center" vertical="center" wrapText="1"/>
    </xf>
    <xf numFmtId="0" fontId="5" fillId="0" borderId="23" xfId="0" applyFont="1" applyBorder="1" applyAlignment="1">
      <alignment horizontal="center" vertical="center" wrapText="1"/>
    </xf>
    <xf numFmtId="0" fontId="5" fillId="0" borderId="52" xfId="0" applyFont="1" applyBorder="1" applyAlignment="1">
      <alignment horizontal="center" vertical="center" wrapText="1"/>
    </xf>
    <xf numFmtId="0" fontId="5" fillId="0" borderId="15" xfId="0" applyFont="1" applyBorder="1" applyAlignment="1">
      <alignment horizontal="center" vertical="center" wrapText="1"/>
    </xf>
    <xf numFmtId="0" fontId="5" fillId="0" borderId="14" xfId="0" applyFont="1" applyBorder="1" applyAlignment="1">
      <alignment horizontal="center" vertical="center" wrapText="1"/>
    </xf>
    <xf numFmtId="0" fontId="5" fillId="0" borderId="13" xfId="0" applyFont="1" applyBorder="1" applyAlignment="1">
      <alignment horizontal="center" vertical="center" wrapText="1"/>
    </xf>
    <xf numFmtId="0" fontId="10" fillId="7" borderId="0" xfId="0" applyFont="1" applyFill="1" applyAlignment="1">
      <alignment horizontal="center"/>
    </xf>
    <xf numFmtId="0" fontId="5" fillId="5" borderId="41" xfId="0" applyFont="1" applyFill="1" applyBorder="1" applyAlignment="1">
      <alignment horizontal="center" vertical="top"/>
    </xf>
    <xf numFmtId="0" fontId="5" fillId="0" borderId="9" xfId="0" applyFont="1" applyBorder="1" applyAlignment="1">
      <alignment horizontal="center" vertical="center"/>
    </xf>
    <xf numFmtId="0" fontId="5" fillId="0" borderId="39" xfId="0" applyFont="1" applyBorder="1" applyAlignment="1">
      <alignment horizontal="center" vertical="center"/>
    </xf>
    <xf numFmtId="0" fontId="5" fillId="0" borderId="16" xfId="0" applyFont="1" applyBorder="1" applyAlignment="1">
      <alignment horizontal="center" vertical="center"/>
    </xf>
    <xf numFmtId="0" fontId="5" fillId="0" borderId="35" xfId="0" applyFont="1" applyBorder="1" applyAlignment="1">
      <alignment horizontal="center" wrapText="1"/>
    </xf>
    <xf numFmtId="0" fontId="5" fillId="0" borderId="34" xfId="0" applyFont="1" applyBorder="1" applyAlignment="1">
      <alignment horizontal="center" wrapText="1"/>
    </xf>
    <xf numFmtId="0" fontId="5" fillId="0" borderId="33" xfId="0" applyFont="1" applyBorder="1" applyAlignment="1">
      <alignment horizontal="center" wrapText="1"/>
    </xf>
    <xf numFmtId="0" fontId="5" fillId="0" borderId="28" xfId="0" applyFont="1" applyBorder="1" applyAlignment="1">
      <alignment horizontal="center" vertical="center" wrapText="1"/>
    </xf>
    <xf numFmtId="0" fontId="5" fillId="0" borderId="27" xfId="0" applyFont="1" applyBorder="1" applyAlignment="1">
      <alignment horizontal="center" vertical="center" wrapText="1"/>
    </xf>
    <xf numFmtId="0" fontId="5" fillId="0" borderId="46" xfId="0" applyFont="1" applyBorder="1" applyAlignment="1">
      <alignment horizontal="center" vertical="center" wrapText="1"/>
    </xf>
    <xf numFmtId="0" fontId="5" fillId="0" borderId="48" xfId="0" applyFont="1" applyBorder="1" applyAlignment="1">
      <alignment horizontal="center" vertical="center" wrapText="1"/>
    </xf>
    <xf numFmtId="0" fontId="43" fillId="4" borderId="111" xfId="0" applyFont="1" applyFill="1" applyBorder="1" applyAlignment="1">
      <alignment horizontal="center" vertical="center" wrapText="1"/>
    </xf>
    <xf numFmtId="0" fontId="43" fillId="4" borderId="112" xfId="0" applyFont="1" applyFill="1" applyBorder="1" applyAlignment="1">
      <alignment horizontal="center" vertical="center" wrapText="1"/>
    </xf>
    <xf numFmtId="0" fontId="43" fillId="4" borderId="114" xfId="0" applyFont="1" applyFill="1" applyBorder="1" applyAlignment="1">
      <alignment horizontal="center" vertical="center" wrapText="1"/>
    </xf>
    <xf numFmtId="0" fontId="40" fillId="0" borderId="97" xfId="0" applyFont="1" applyBorder="1" applyAlignment="1">
      <alignment horizontal="center" vertical="center" wrapText="1"/>
    </xf>
    <xf numFmtId="0" fontId="40" fillId="0" borderId="74" xfId="0" applyFont="1" applyBorder="1" applyAlignment="1">
      <alignment horizontal="center" vertical="center" wrapText="1"/>
    </xf>
    <xf numFmtId="0" fontId="40" fillId="0" borderId="84" xfId="0" applyFont="1" applyBorder="1" applyAlignment="1">
      <alignment horizontal="center" vertical="center" wrapText="1"/>
    </xf>
    <xf numFmtId="0" fontId="40" fillId="0" borderId="91" xfId="0" applyFont="1" applyBorder="1" applyAlignment="1">
      <alignment horizontal="center" vertical="center" wrapText="1"/>
    </xf>
    <xf numFmtId="0" fontId="40" fillId="0" borderId="0" xfId="0" applyFont="1" applyAlignment="1">
      <alignment horizontal="center" vertical="center" wrapText="1"/>
    </xf>
    <xf numFmtId="0" fontId="40" fillId="0" borderId="66" xfId="0" applyFont="1" applyBorder="1" applyAlignment="1">
      <alignment horizontal="center" vertical="center" wrapText="1"/>
    </xf>
    <xf numFmtId="0" fontId="40" fillId="0" borderId="99" xfId="0" applyFont="1" applyBorder="1" applyAlignment="1">
      <alignment horizontal="center" vertical="center" wrapText="1"/>
    </xf>
    <xf numFmtId="0" fontId="40" fillId="0" borderId="81" xfId="0" applyFont="1" applyBorder="1" applyAlignment="1">
      <alignment horizontal="center" vertical="center" wrapText="1"/>
    </xf>
    <xf numFmtId="0" fontId="40" fillId="0" borderId="86" xfId="0" applyFont="1" applyBorder="1" applyAlignment="1">
      <alignment horizontal="center" vertical="center" wrapText="1"/>
    </xf>
    <xf numFmtId="0" fontId="40" fillId="4" borderId="115" xfId="0" applyFont="1" applyFill="1" applyBorder="1" applyAlignment="1">
      <alignment horizontal="left" vertical="center"/>
    </xf>
    <xf numFmtId="0" fontId="40" fillId="4" borderId="30" xfId="0" applyFont="1" applyFill="1" applyBorder="1" applyAlignment="1">
      <alignment horizontal="left" vertical="center"/>
    </xf>
    <xf numFmtId="0" fontId="40" fillId="4" borderId="116" xfId="0" applyFont="1" applyFill="1" applyBorder="1" applyAlignment="1">
      <alignment horizontal="left" vertical="center"/>
    </xf>
    <xf numFmtId="0" fontId="40" fillId="4" borderId="117" xfId="0" applyFont="1" applyFill="1" applyBorder="1" applyAlignment="1">
      <alignment horizontal="left" vertical="center"/>
    </xf>
    <xf numFmtId="0" fontId="40" fillId="4" borderId="41" xfId="0" applyFont="1" applyFill="1" applyBorder="1" applyAlignment="1">
      <alignment horizontal="left" vertical="center"/>
    </xf>
    <xf numFmtId="0" fontId="40" fillId="4" borderId="118" xfId="0" applyFont="1" applyFill="1" applyBorder="1" applyAlignment="1">
      <alignment horizontal="left" vertical="center"/>
    </xf>
    <xf numFmtId="0" fontId="10" fillId="0" borderId="88" xfId="0" applyFont="1" applyBorder="1" applyAlignment="1">
      <alignment horizontal="center"/>
    </xf>
    <xf numFmtId="0" fontId="10" fillId="0" borderId="89" xfId="0" applyFont="1" applyBorder="1" applyAlignment="1">
      <alignment horizontal="center"/>
    </xf>
    <xf numFmtId="0" fontId="10" fillId="0" borderId="90" xfId="0" applyFont="1" applyBorder="1" applyAlignment="1">
      <alignment horizontal="center"/>
    </xf>
    <xf numFmtId="0" fontId="40" fillId="0" borderId="91" xfId="0" applyFont="1" applyBorder="1" applyAlignment="1">
      <alignment horizontal="center" wrapText="1"/>
    </xf>
    <xf numFmtId="0" fontId="40" fillId="0" borderId="0" xfId="0" applyFont="1" applyAlignment="1">
      <alignment horizontal="center" wrapText="1"/>
    </xf>
    <xf numFmtId="0" fontId="40" fillId="0" borderId="106" xfId="0" applyFont="1" applyBorder="1" applyAlignment="1">
      <alignment horizontal="center" wrapText="1"/>
    </xf>
    <xf numFmtId="0" fontId="39" fillId="0" borderId="91" xfId="0" applyFont="1" applyBorder="1" applyAlignment="1">
      <alignment horizontal="center" vertical="top"/>
    </xf>
    <xf numFmtId="0" fontId="39" fillId="0" borderId="0" xfId="0" applyFont="1" applyAlignment="1">
      <alignment horizontal="center" vertical="top"/>
    </xf>
    <xf numFmtId="0" fontId="39" fillId="0" borderId="99" xfId="0" applyFont="1" applyBorder="1" applyAlignment="1">
      <alignment horizontal="center" vertical="top"/>
    </xf>
    <xf numFmtId="0" fontId="39" fillId="0" borderId="81" xfId="0" applyFont="1" applyBorder="1" applyAlignment="1">
      <alignment horizontal="center" vertical="top"/>
    </xf>
    <xf numFmtId="0" fontId="40" fillId="0" borderId="87" xfId="0" applyFont="1" applyBorder="1" applyAlignment="1">
      <alignment horizontal="center" vertical="center" wrapText="1"/>
    </xf>
    <xf numFmtId="0" fontId="40" fillId="0" borderId="129" xfId="0" applyFont="1" applyBorder="1" applyAlignment="1">
      <alignment horizontal="center" vertical="center"/>
    </xf>
    <xf numFmtId="0" fontId="40" fillId="0" borderId="130" xfId="0" applyFont="1" applyBorder="1" applyAlignment="1">
      <alignment horizontal="center" vertical="center"/>
    </xf>
    <xf numFmtId="0" fontId="40" fillId="0" borderId="131" xfId="0" applyFont="1" applyBorder="1" applyAlignment="1">
      <alignment horizontal="center" vertical="center"/>
    </xf>
    <xf numFmtId="0" fontId="36" fillId="0" borderId="61" xfId="0" applyFont="1" applyBorder="1" applyAlignment="1">
      <alignment horizontal="center" vertical="center"/>
    </xf>
    <xf numFmtId="0" fontId="30" fillId="0" borderId="60" xfId="0" applyFont="1" applyBorder="1" applyAlignment="1">
      <alignment horizontal="center" vertical="center"/>
    </xf>
    <xf numFmtId="0" fontId="30" fillId="0" borderId="64" xfId="0" applyFont="1" applyBorder="1" applyAlignment="1">
      <alignment horizontal="center" vertical="center"/>
    </xf>
    <xf numFmtId="0" fontId="30" fillId="0" borderId="62" xfId="0" applyFont="1" applyBorder="1" applyAlignment="1">
      <alignment horizontal="center" vertical="center"/>
    </xf>
    <xf numFmtId="0" fontId="30" fillId="0" borderId="55" xfId="0" applyFont="1" applyBorder="1" applyAlignment="1">
      <alignment horizontal="center" vertical="center"/>
    </xf>
    <xf numFmtId="0" fontId="30" fillId="0" borderId="58" xfId="0" applyFont="1" applyBorder="1" applyAlignment="1">
      <alignment horizontal="center" vertical="center"/>
    </xf>
  </cellXfs>
  <cellStyles count="1">
    <cellStyle name="Įprastas" xfId="0" builtinId="0"/>
  </cellStyles>
  <dxfs count="6">
    <dxf>
      <font>
        <color rgb="FFFFFFFF"/>
      </font>
      <fill>
        <patternFill>
          <bgColor rgb="FF8FCEA5"/>
        </patternFill>
      </fill>
    </dxf>
    <dxf>
      <font>
        <color rgb="FFFFFFFF"/>
      </font>
      <fill>
        <patternFill>
          <bgColor rgb="FF8FCEA5"/>
        </patternFill>
      </fill>
    </dxf>
    <dxf>
      <font>
        <color rgb="FFFFFFFF"/>
      </font>
      <fill>
        <patternFill>
          <bgColor rgb="FF8FCEA5"/>
        </patternFill>
      </fill>
    </dxf>
    <dxf>
      <font>
        <color rgb="FFFFFFFF"/>
      </font>
      <fill>
        <patternFill>
          <bgColor rgb="FF8FCEA5"/>
        </patternFill>
      </fill>
    </dxf>
    <dxf>
      <font>
        <color rgb="FFFFFFFF"/>
      </font>
      <fill>
        <patternFill>
          <bgColor rgb="FF8FCEA5"/>
        </patternFill>
      </fill>
    </dxf>
    <dxf>
      <font>
        <color rgb="FFFFFFFF"/>
      </font>
      <fill>
        <patternFill>
          <bgColor rgb="FF8FCEA5"/>
        </patternFill>
      </fill>
    </dxf>
  </dxfs>
  <tableStyles count="0" defaultTableStyle="TableStyleMedium2" defaultPivotStyle="PivotStyleLight16"/>
  <colors>
    <mruColors>
      <color rgb="FF808080"/>
      <color rgb="FFFFFFFF"/>
      <color rgb="FF8FCEA5"/>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13"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styles" Target="styles.xml"/><Relationship Id="rId12"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11" Type="http://schemas.openxmlformats.org/officeDocument/2006/relationships/calcChain" Target="calcChain.xml"/><Relationship Id="rId5" Type="http://schemas.openxmlformats.org/officeDocument/2006/relationships/worksheet" Target="worksheets/sheet5.xml"/><Relationship Id="rId10" Type="http://schemas.microsoft.com/office/2017/10/relationships/person" Target="persons/person.xml"/><Relationship Id="rId4" Type="http://schemas.openxmlformats.org/officeDocument/2006/relationships/worksheet" Target="worksheets/sheet4.xml"/><Relationship Id="rId9" Type="http://schemas.openxmlformats.org/officeDocument/2006/relationships/sheetMetadata" Target="metadata.xml"/><Relationship Id="rId14" Type="http://schemas.openxmlformats.org/officeDocument/2006/relationships/customXml" Target="../customXml/item3.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_rels/chart2.xml.rels><?xml version="1.0" encoding="UTF-8" standalone="yes"?>
<Relationships xmlns="http://schemas.openxmlformats.org/package/2006/relationships"><Relationship Id="rId2" Type="http://schemas.microsoft.com/office/2011/relationships/chartColorStyle" Target="colors2.xml"/><Relationship Id="rId1" Type="http://schemas.microsoft.com/office/2011/relationships/chartStyle" Target="styl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lt-LT"/>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barChart>
        <c:barDir val="col"/>
        <c:grouping val="clustered"/>
        <c:varyColors val="0"/>
        <c:ser>
          <c:idx val="0"/>
          <c:order val="0"/>
          <c:spPr>
            <a:solidFill>
              <a:schemeClr val="bg2">
                <a:lumMod val="25000"/>
              </a:schemeClr>
            </a:solidFill>
            <a:ln>
              <a:noFill/>
            </a:ln>
            <a:effectLst/>
          </c:spPr>
          <c:invertIfNegative val="0"/>
          <c:dPt>
            <c:idx val="1"/>
            <c:invertIfNegative val="0"/>
            <c:bubble3D val="0"/>
            <c:spPr>
              <a:solidFill>
                <a:schemeClr val="bg2">
                  <a:lumMod val="50000"/>
                </a:schemeClr>
              </a:solidFill>
              <a:ln>
                <a:noFill/>
              </a:ln>
              <a:effectLst/>
            </c:spPr>
            <c:extLst>
              <c:ext xmlns:c16="http://schemas.microsoft.com/office/drawing/2014/chart" uri="{C3380CC4-5D6E-409C-BE32-E72D297353CC}">
                <c16:uniqueId val="{00000000-8567-4C50-BD9D-5B029BA0FA4D}"/>
              </c:ext>
            </c:extLst>
          </c:dPt>
          <c:dPt>
            <c:idx val="2"/>
            <c:invertIfNegative val="0"/>
            <c:bubble3D val="0"/>
            <c:spPr>
              <a:solidFill>
                <a:schemeClr val="accent6">
                  <a:lumMod val="75000"/>
                </a:schemeClr>
              </a:solidFill>
              <a:ln>
                <a:noFill/>
              </a:ln>
              <a:effectLst/>
            </c:spPr>
            <c:extLst>
              <c:ext xmlns:c16="http://schemas.microsoft.com/office/drawing/2014/chart" uri="{C3380CC4-5D6E-409C-BE32-E72D297353CC}">
                <c16:uniqueId val="{00000001-8567-4C50-BD9D-5B029BA0FA4D}"/>
              </c:ext>
            </c:extLst>
          </c:dPt>
          <c:dPt>
            <c:idx val="3"/>
            <c:invertIfNegative val="0"/>
            <c:bubble3D val="0"/>
            <c:spPr>
              <a:solidFill>
                <a:schemeClr val="accent6">
                  <a:lumMod val="25000"/>
                </a:schemeClr>
              </a:solidFill>
              <a:ln>
                <a:solidFill>
                  <a:schemeClr val="accent6">
                    <a:lumMod val="25000"/>
                  </a:schemeClr>
                </a:solidFill>
              </a:ln>
              <a:effectLst/>
            </c:spPr>
            <c:extLst>
              <c:ext xmlns:c16="http://schemas.microsoft.com/office/drawing/2014/chart" uri="{C3380CC4-5D6E-409C-BE32-E72D297353CC}">
                <c16:uniqueId val="{00000002-8567-4C50-BD9D-5B029BA0FA4D}"/>
              </c:ext>
            </c:extLst>
          </c:dPt>
          <c:cat>
            <c:strRef>
              <c:f>Skaičiuoklė_pvz!$I$12:$I$15</c:f>
              <c:strCache>
                <c:ptCount val="4"/>
                <c:pt idx="0">
                  <c:v>NH3 sumažinimas</c:v>
                </c:pt>
                <c:pt idx="1">
                  <c:v>NMLOJ sumažinimas</c:v>
                </c:pt>
                <c:pt idx="2">
                  <c:v>NOx sumažinimas</c:v>
                </c:pt>
                <c:pt idx="3">
                  <c:v>KD2,5 sumažinimas</c:v>
                </c:pt>
              </c:strCache>
            </c:strRef>
          </c:cat>
          <c:val>
            <c:numRef>
              <c:f>Skaičiuoklė_pvz!$P$12:$P$15</c:f>
              <c:numCache>
                <c:formatCode>0.000</c:formatCode>
                <c:ptCount val="4"/>
                <c:pt idx="0">
                  <c:v>9.2256000000000005E-3</c:v>
                </c:pt>
                <c:pt idx="1">
                  <c:v>0.5396976</c:v>
                </c:pt>
                <c:pt idx="2">
                  <c:v>6.365664000000006</c:v>
                </c:pt>
                <c:pt idx="3">
                  <c:v>0.77679551999999996</c:v>
                </c:pt>
              </c:numCache>
            </c:numRef>
          </c:val>
          <c:extLst>
            <c:ext xmlns:c16="http://schemas.microsoft.com/office/drawing/2014/chart" uri="{C3380CC4-5D6E-409C-BE32-E72D297353CC}">
              <c16:uniqueId val="{00000000-1DF5-492E-A88F-3F75811EC488}"/>
            </c:ext>
          </c:extLst>
        </c:ser>
        <c:dLbls>
          <c:showLegendKey val="0"/>
          <c:showVal val="0"/>
          <c:showCatName val="0"/>
          <c:showSerName val="0"/>
          <c:showPercent val="0"/>
          <c:showBubbleSize val="0"/>
        </c:dLbls>
        <c:gapWidth val="219"/>
        <c:overlap val="-27"/>
        <c:axId val="633826191"/>
        <c:axId val="1488444704"/>
      </c:barChart>
      <c:catAx>
        <c:axId val="633826191"/>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bg2">
                    <a:lumMod val="25000"/>
                  </a:schemeClr>
                </a:solidFill>
                <a:latin typeface="+mn-lt"/>
                <a:ea typeface="+mn-ea"/>
                <a:cs typeface="+mn-cs"/>
              </a:defRPr>
            </a:pPr>
            <a:endParaRPr lang="en-US"/>
          </a:p>
        </c:txPr>
        <c:crossAx val="1488444704"/>
        <c:crossesAt val="1.0000000000000002E-3"/>
        <c:auto val="1"/>
        <c:lblAlgn val="ctr"/>
        <c:lblOffset val="100"/>
        <c:noMultiLvlLbl val="0"/>
      </c:catAx>
      <c:valAx>
        <c:axId val="1488444704"/>
        <c:scaling>
          <c:orientation val="minMax"/>
        </c:scaling>
        <c:delete val="0"/>
        <c:axPos val="l"/>
        <c:majorGridlines>
          <c:spPr>
            <a:ln w="9525" cap="flat" cmpd="sng" algn="ctr">
              <a:solidFill>
                <a:schemeClr val="tx1">
                  <a:lumMod val="15000"/>
                  <a:lumOff val="85000"/>
                </a:schemeClr>
              </a:solidFill>
              <a:round/>
            </a:ln>
            <a:effectLst/>
          </c:spPr>
        </c:majorGridlines>
        <c:title>
          <c:tx>
            <c:rich>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lt-LT">
                    <a:solidFill>
                      <a:schemeClr val="bg2">
                        <a:lumMod val="50000"/>
                      </a:schemeClr>
                    </a:solidFill>
                  </a:rPr>
                  <a:t>oro taršos sumažinimas,</a:t>
                </a:r>
                <a:r>
                  <a:rPr lang="lt-LT" baseline="0">
                    <a:solidFill>
                      <a:schemeClr val="bg2">
                        <a:lumMod val="50000"/>
                      </a:schemeClr>
                    </a:solidFill>
                  </a:rPr>
                  <a:t> kt</a:t>
                </a:r>
              </a:p>
            </c:rich>
          </c:tx>
          <c:layout>
            <c:manualLayout>
              <c:xMode val="edge"/>
              <c:yMode val="edge"/>
              <c:x val="1.9444444444444445E-2"/>
              <c:y val="0.27905643616540138"/>
            </c:manualLayout>
          </c:layout>
          <c:overlay val="0"/>
          <c:spPr>
            <a:noFill/>
            <a:ln>
              <a:noFill/>
            </a:ln>
            <a:effectLst/>
          </c:spPr>
          <c:txPr>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en-US"/>
            </a:p>
          </c:txPr>
        </c:title>
        <c:numFmt formatCode="0.0" sourceLinked="0"/>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bg2">
                    <a:lumMod val="25000"/>
                  </a:schemeClr>
                </a:solidFill>
                <a:latin typeface="+mn-lt"/>
                <a:ea typeface="+mn-ea"/>
                <a:cs typeface="+mn-cs"/>
              </a:defRPr>
            </a:pPr>
            <a:endParaRPr lang="en-US"/>
          </a:p>
        </c:txPr>
        <c:crossAx val="633826191"/>
        <c:crosses val="autoZero"/>
        <c:crossBetween val="between"/>
      </c:valAx>
      <c:spPr>
        <a:noFill/>
        <a:ln>
          <a:noFill/>
        </a:ln>
        <a:effectLst/>
      </c:spPr>
    </c:plotArea>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rgbClr val="FFFFFF"/>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lt-LT"/>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barChart>
        <c:barDir val="col"/>
        <c:grouping val="clustered"/>
        <c:varyColors val="0"/>
        <c:ser>
          <c:idx val="0"/>
          <c:order val="0"/>
          <c:tx>
            <c:strRef>
              <c:f>Skaičiuoklė!$I$17</c:f>
              <c:strCache>
                <c:ptCount val="1"/>
                <c:pt idx="0">
                  <c:v>NH3 kiekio pokytis, kt</c:v>
                </c:pt>
              </c:strCache>
            </c:strRef>
          </c:tx>
          <c:spPr>
            <a:solidFill>
              <a:schemeClr val="accent1"/>
            </a:solidFill>
            <a:ln>
              <a:noFill/>
            </a:ln>
            <a:effectLst/>
          </c:spPr>
          <c:invertIfNegative val="0"/>
          <c:cat>
            <c:strRef>
              <c:f>Skaičiuoklė!$J$6:$P$6</c:f>
              <c:strCache>
                <c:ptCount val="5"/>
                <c:pt idx="0">
                  <c:v>Variantas 1 </c:v>
                </c:pt>
                <c:pt idx="1">
                  <c:v>Variantas 2</c:v>
                </c:pt>
                <c:pt idx="2">
                  <c:v>Variantas 3</c:v>
                </c:pt>
                <c:pt idx="3">
                  <c:v>Variantas 4</c:v>
                </c:pt>
                <c:pt idx="4">
                  <c:v>Suma</c:v>
                </c:pt>
              </c:strCache>
            </c:strRef>
          </c:cat>
          <c:val>
            <c:numRef>
              <c:f>Skaičiuoklė!$J$17:$P$17</c:f>
              <c:numCache>
                <c:formatCode>0.0000</c:formatCode>
                <c:ptCount val="5"/>
                <c:pt idx="0">
                  <c:v>-1.5743029999999998E-2</c:v>
                </c:pt>
                <c:pt idx="1">
                  <c:v>-1.5743029999999998E-2</c:v>
                </c:pt>
                <c:pt idx="2">
                  <c:v>-1.5743029999999998E-2</c:v>
                </c:pt>
                <c:pt idx="3">
                  <c:v>-1.5743029999999998E-2</c:v>
                </c:pt>
                <c:pt idx="4" formatCode="0.000">
                  <c:v>-6.2972119999999993E-2</c:v>
                </c:pt>
              </c:numCache>
            </c:numRef>
          </c:val>
          <c:extLst>
            <c:ext xmlns:c16="http://schemas.microsoft.com/office/drawing/2014/chart" uri="{C3380CC4-5D6E-409C-BE32-E72D297353CC}">
              <c16:uniqueId val="{00000000-DA61-47F0-8CAD-17170DB20873}"/>
            </c:ext>
          </c:extLst>
        </c:ser>
        <c:ser>
          <c:idx val="1"/>
          <c:order val="1"/>
          <c:spPr>
            <a:solidFill>
              <a:schemeClr val="accent2"/>
            </a:solidFill>
            <a:ln>
              <a:noFill/>
            </a:ln>
            <a:effectLst/>
          </c:spPr>
          <c:invertIfNegative val="0"/>
          <c:cat>
            <c:strRef>
              <c:f>Skaičiuoklė!$J$6:$P$6</c:f>
              <c:strCache>
                <c:ptCount val="5"/>
                <c:pt idx="0">
                  <c:v>Variantas 1 </c:v>
                </c:pt>
                <c:pt idx="1">
                  <c:v>Variantas 2</c:v>
                </c:pt>
                <c:pt idx="2">
                  <c:v>Variantas 3</c:v>
                </c:pt>
                <c:pt idx="3">
                  <c:v>Variantas 4</c:v>
                </c:pt>
                <c:pt idx="4">
                  <c:v>Suma</c:v>
                </c:pt>
              </c:strCache>
            </c:strRef>
          </c:cat>
          <c:val>
            <c:numRef>
              <c:f>Skaičiuoklė!$J$18:$P$18</c:f>
            </c:numRef>
          </c:val>
          <c:extLst>
            <c:ext xmlns:c16="http://schemas.microsoft.com/office/drawing/2014/chart" uri="{C3380CC4-5D6E-409C-BE32-E72D297353CC}">
              <c16:uniqueId val="{00000001-DA61-47F0-8CAD-17170DB20873}"/>
            </c:ext>
          </c:extLst>
        </c:ser>
        <c:ser>
          <c:idx val="2"/>
          <c:order val="2"/>
          <c:spPr>
            <a:solidFill>
              <a:schemeClr val="accent3"/>
            </a:solidFill>
            <a:ln>
              <a:noFill/>
            </a:ln>
            <a:effectLst/>
          </c:spPr>
          <c:invertIfNegative val="0"/>
          <c:cat>
            <c:strRef>
              <c:f>Skaičiuoklė!$J$6:$P$6</c:f>
              <c:strCache>
                <c:ptCount val="5"/>
                <c:pt idx="0">
                  <c:v>Variantas 1 </c:v>
                </c:pt>
                <c:pt idx="1">
                  <c:v>Variantas 2</c:v>
                </c:pt>
                <c:pt idx="2">
                  <c:v>Variantas 3</c:v>
                </c:pt>
                <c:pt idx="3">
                  <c:v>Variantas 4</c:v>
                </c:pt>
                <c:pt idx="4">
                  <c:v>Suma</c:v>
                </c:pt>
              </c:strCache>
            </c:strRef>
          </c:cat>
          <c:val>
            <c:numRef>
              <c:f>Skaičiuoklė!$J$19:$P$19</c:f>
            </c:numRef>
          </c:val>
          <c:extLst>
            <c:ext xmlns:c16="http://schemas.microsoft.com/office/drawing/2014/chart" uri="{C3380CC4-5D6E-409C-BE32-E72D297353CC}">
              <c16:uniqueId val="{00000002-DA61-47F0-8CAD-17170DB20873}"/>
            </c:ext>
          </c:extLst>
        </c:ser>
        <c:ser>
          <c:idx val="3"/>
          <c:order val="3"/>
          <c:tx>
            <c:strRef>
              <c:f>Skaičiuoklė!$I$20</c:f>
              <c:strCache>
                <c:ptCount val="1"/>
                <c:pt idx="0">
                  <c:v>NMLOJ kiekio pokytis, kt</c:v>
                </c:pt>
              </c:strCache>
            </c:strRef>
          </c:tx>
          <c:spPr>
            <a:solidFill>
              <a:schemeClr val="accent4"/>
            </a:solidFill>
            <a:ln>
              <a:noFill/>
            </a:ln>
            <a:effectLst/>
          </c:spPr>
          <c:invertIfNegative val="0"/>
          <c:cat>
            <c:strRef>
              <c:f>Skaičiuoklė!$J$6:$P$6</c:f>
              <c:strCache>
                <c:ptCount val="5"/>
                <c:pt idx="0">
                  <c:v>Variantas 1 </c:v>
                </c:pt>
                <c:pt idx="1">
                  <c:v>Variantas 2</c:v>
                </c:pt>
                <c:pt idx="2">
                  <c:v>Variantas 3</c:v>
                </c:pt>
                <c:pt idx="3">
                  <c:v>Variantas 4</c:v>
                </c:pt>
                <c:pt idx="4">
                  <c:v>Suma</c:v>
                </c:pt>
              </c:strCache>
            </c:strRef>
          </c:cat>
          <c:val>
            <c:numRef>
              <c:f>Skaičiuoklė!$J$20:$P$20</c:f>
              <c:numCache>
                <c:formatCode>0.0000</c:formatCode>
                <c:ptCount val="5"/>
                <c:pt idx="0">
                  <c:v>-1.2805484999999998E-2</c:v>
                </c:pt>
                <c:pt idx="1">
                  <c:v>-1.2805484999999998E-2</c:v>
                </c:pt>
                <c:pt idx="2">
                  <c:v>-1.2805484999999998E-2</c:v>
                </c:pt>
                <c:pt idx="3">
                  <c:v>-1.2805484999999998E-2</c:v>
                </c:pt>
                <c:pt idx="4" formatCode="0.000">
                  <c:v>-5.1221939999999994E-2</c:v>
                </c:pt>
              </c:numCache>
            </c:numRef>
          </c:val>
          <c:extLst>
            <c:ext xmlns:c16="http://schemas.microsoft.com/office/drawing/2014/chart" uri="{C3380CC4-5D6E-409C-BE32-E72D297353CC}">
              <c16:uniqueId val="{00000003-DA61-47F0-8CAD-17170DB20873}"/>
            </c:ext>
          </c:extLst>
        </c:ser>
        <c:ser>
          <c:idx val="4"/>
          <c:order val="4"/>
          <c:spPr>
            <a:solidFill>
              <a:schemeClr val="accent5"/>
            </a:solidFill>
            <a:ln>
              <a:noFill/>
            </a:ln>
            <a:effectLst/>
          </c:spPr>
          <c:invertIfNegative val="0"/>
          <c:cat>
            <c:strRef>
              <c:f>Skaičiuoklė!$J$6:$P$6</c:f>
              <c:strCache>
                <c:ptCount val="5"/>
                <c:pt idx="0">
                  <c:v>Variantas 1 </c:v>
                </c:pt>
                <c:pt idx="1">
                  <c:v>Variantas 2</c:v>
                </c:pt>
                <c:pt idx="2">
                  <c:v>Variantas 3</c:v>
                </c:pt>
                <c:pt idx="3">
                  <c:v>Variantas 4</c:v>
                </c:pt>
                <c:pt idx="4">
                  <c:v>Suma</c:v>
                </c:pt>
              </c:strCache>
            </c:strRef>
          </c:cat>
          <c:val>
            <c:numRef>
              <c:f>Skaičiuoklė!$J$21:$P$21</c:f>
            </c:numRef>
          </c:val>
          <c:extLst>
            <c:ext xmlns:c16="http://schemas.microsoft.com/office/drawing/2014/chart" uri="{C3380CC4-5D6E-409C-BE32-E72D297353CC}">
              <c16:uniqueId val="{00000004-DA61-47F0-8CAD-17170DB20873}"/>
            </c:ext>
          </c:extLst>
        </c:ser>
        <c:ser>
          <c:idx val="7"/>
          <c:order val="7"/>
          <c:spPr>
            <a:solidFill>
              <a:schemeClr val="accent2">
                <a:lumMod val="60000"/>
              </a:schemeClr>
            </a:solidFill>
            <a:ln>
              <a:noFill/>
            </a:ln>
            <a:effectLst/>
          </c:spPr>
          <c:invertIfNegative val="0"/>
          <c:cat>
            <c:strRef>
              <c:f>Skaičiuoklė!$J$6:$P$6</c:f>
              <c:strCache>
                <c:ptCount val="5"/>
                <c:pt idx="0">
                  <c:v>Variantas 1 </c:v>
                </c:pt>
                <c:pt idx="1">
                  <c:v>Variantas 2</c:v>
                </c:pt>
                <c:pt idx="2">
                  <c:v>Variantas 3</c:v>
                </c:pt>
                <c:pt idx="3">
                  <c:v>Variantas 4</c:v>
                </c:pt>
                <c:pt idx="4">
                  <c:v>Suma</c:v>
                </c:pt>
              </c:strCache>
            </c:strRef>
          </c:cat>
          <c:val>
            <c:numRef>
              <c:f>Skaičiuoklė!$J$24:$P$24</c:f>
            </c:numRef>
          </c:val>
          <c:extLst>
            <c:ext xmlns:c16="http://schemas.microsoft.com/office/drawing/2014/chart" uri="{C3380CC4-5D6E-409C-BE32-E72D297353CC}">
              <c16:uniqueId val="{00000007-DA61-47F0-8CAD-17170DB20873}"/>
            </c:ext>
          </c:extLst>
        </c:ser>
        <c:ser>
          <c:idx val="8"/>
          <c:order val="8"/>
          <c:spPr>
            <a:solidFill>
              <a:schemeClr val="accent3">
                <a:lumMod val="60000"/>
              </a:schemeClr>
            </a:solidFill>
            <a:ln>
              <a:noFill/>
            </a:ln>
            <a:effectLst/>
          </c:spPr>
          <c:invertIfNegative val="0"/>
          <c:cat>
            <c:strRef>
              <c:f>Skaičiuoklė!$J$6:$P$6</c:f>
              <c:strCache>
                <c:ptCount val="5"/>
                <c:pt idx="0">
                  <c:v>Variantas 1 </c:v>
                </c:pt>
                <c:pt idx="1">
                  <c:v>Variantas 2</c:v>
                </c:pt>
                <c:pt idx="2">
                  <c:v>Variantas 3</c:v>
                </c:pt>
                <c:pt idx="3">
                  <c:v>Variantas 4</c:v>
                </c:pt>
                <c:pt idx="4">
                  <c:v>Suma</c:v>
                </c:pt>
              </c:strCache>
            </c:strRef>
          </c:cat>
          <c:val>
            <c:numRef>
              <c:f>Skaičiuoklė!$J$25:$P$25</c:f>
            </c:numRef>
          </c:val>
          <c:extLst>
            <c:ext xmlns:c16="http://schemas.microsoft.com/office/drawing/2014/chart" uri="{C3380CC4-5D6E-409C-BE32-E72D297353CC}">
              <c16:uniqueId val="{00000008-DA61-47F0-8CAD-17170DB20873}"/>
            </c:ext>
          </c:extLst>
        </c:ser>
        <c:ser>
          <c:idx val="9"/>
          <c:order val="9"/>
          <c:tx>
            <c:strRef>
              <c:f>Skaičiuoklė!$I$26</c:f>
              <c:strCache>
                <c:ptCount val="1"/>
                <c:pt idx="0">
                  <c:v>KD2,5 kiekio pokytis, kt</c:v>
                </c:pt>
              </c:strCache>
            </c:strRef>
          </c:tx>
          <c:spPr>
            <a:solidFill>
              <a:schemeClr val="accent4">
                <a:lumMod val="60000"/>
              </a:schemeClr>
            </a:solidFill>
            <a:ln>
              <a:noFill/>
            </a:ln>
            <a:effectLst/>
          </c:spPr>
          <c:invertIfNegative val="0"/>
          <c:cat>
            <c:strRef>
              <c:f>Skaičiuoklė!$J$6:$P$6</c:f>
              <c:strCache>
                <c:ptCount val="5"/>
                <c:pt idx="0">
                  <c:v>Variantas 1 </c:v>
                </c:pt>
                <c:pt idx="1">
                  <c:v>Variantas 2</c:v>
                </c:pt>
                <c:pt idx="2">
                  <c:v>Variantas 3</c:v>
                </c:pt>
                <c:pt idx="3">
                  <c:v>Variantas 4</c:v>
                </c:pt>
                <c:pt idx="4">
                  <c:v>Suma</c:v>
                </c:pt>
              </c:strCache>
            </c:strRef>
          </c:cat>
          <c:val>
            <c:numRef>
              <c:f>Skaičiuoklė!$J$26:$P$26</c:f>
              <c:numCache>
                <c:formatCode>0.0000</c:formatCode>
                <c:ptCount val="5"/>
                <c:pt idx="0">
                  <c:v>5.9969509999999997E-2</c:v>
                </c:pt>
                <c:pt idx="1">
                  <c:v>5.9969509999999997E-2</c:v>
                </c:pt>
                <c:pt idx="2">
                  <c:v>5.9969509999999997E-2</c:v>
                </c:pt>
                <c:pt idx="3">
                  <c:v>5.9969509999999997E-2</c:v>
                </c:pt>
                <c:pt idx="4" formatCode="0.000">
                  <c:v>0.23987803999999999</c:v>
                </c:pt>
              </c:numCache>
            </c:numRef>
          </c:val>
          <c:extLst>
            <c:ext xmlns:c16="http://schemas.microsoft.com/office/drawing/2014/chart" uri="{C3380CC4-5D6E-409C-BE32-E72D297353CC}">
              <c16:uniqueId val="{00000009-DA61-47F0-8CAD-17170DB20873}"/>
            </c:ext>
          </c:extLst>
        </c:ser>
        <c:ser>
          <c:idx val="5"/>
          <c:order val="5"/>
          <c:spPr>
            <a:solidFill>
              <a:schemeClr val="accent6"/>
            </a:solidFill>
            <a:ln>
              <a:noFill/>
            </a:ln>
            <a:effectLst/>
          </c:spPr>
          <c:invertIfNegative val="0"/>
          <c:cat>
            <c:strRef>
              <c:f>Skaičiuoklė!$J$6:$P$6</c:f>
              <c:strCache>
                <c:ptCount val="5"/>
                <c:pt idx="0">
                  <c:v>Variantas 1 </c:v>
                </c:pt>
                <c:pt idx="1">
                  <c:v>Variantas 2</c:v>
                </c:pt>
                <c:pt idx="2">
                  <c:v>Variantas 3</c:v>
                </c:pt>
                <c:pt idx="3">
                  <c:v>Variantas 4</c:v>
                </c:pt>
                <c:pt idx="4">
                  <c:v>Suma</c:v>
                </c:pt>
              </c:strCache>
            </c:strRef>
          </c:cat>
          <c:val>
            <c:numRef>
              <c:f>Skaičiuoklė!$J$22:$P$22</c:f>
            </c:numRef>
          </c:val>
          <c:extLst>
            <c:ext xmlns:c16="http://schemas.microsoft.com/office/drawing/2014/chart" uri="{C3380CC4-5D6E-409C-BE32-E72D297353CC}">
              <c16:uniqueId val="{00000005-DA61-47F0-8CAD-17170DB20873}"/>
            </c:ext>
          </c:extLst>
        </c:ser>
        <c:ser>
          <c:idx val="6"/>
          <c:order val="6"/>
          <c:tx>
            <c:strRef>
              <c:f>Skaičiuoklė!$I$23</c:f>
              <c:strCache>
                <c:ptCount val="1"/>
                <c:pt idx="0">
                  <c:v>NOx kiekio pokytis, kt</c:v>
                </c:pt>
              </c:strCache>
            </c:strRef>
          </c:tx>
          <c:spPr>
            <a:solidFill>
              <a:schemeClr val="accent1">
                <a:lumMod val="60000"/>
              </a:schemeClr>
            </a:solidFill>
            <a:ln>
              <a:noFill/>
            </a:ln>
            <a:effectLst/>
          </c:spPr>
          <c:invertIfNegative val="0"/>
          <c:cat>
            <c:strRef>
              <c:f>Skaičiuoklė!$J$6:$P$6</c:f>
              <c:strCache>
                <c:ptCount val="5"/>
                <c:pt idx="0">
                  <c:v>Variantas 1 </c:v>
                </c:pt>
                <c:pt idx="1">
                  <c:v>Variantas 2</c:v>
                </c:pt>
                <c:pt idx="2">
                  <c:v>Variantas 3</c:v>
                </c:pt>
                <c:pt idx="3">
                  <c:v>Variantas 4</c:v>
                </c:pt>
                <c:pt idx="4">
                  <c:v>Suma</c:v>
                </c:pt>
              </c:strCache>
            </c:strRef>
          </c:cat>
          <c:val>
            <c:numRef>
              <c:f>Skaičiuoklė!$J$23:$P$23</c:f>
              <c:numCache>
                <c:formatCode>0.0000</c:formatCode>
                <c:ptCount val="5"/>
                <c:pt idx="0">
                  <c:v>0.43927719999999998</c:v>
                </c:pt>
                <c:pt idx="1">
                  <c:v>0.43927719999999998</c:v>
                </c:pt>
                <c:pt idx="2">
                  <c:v>0.43927719999999998</c:v>
                </c:pt>
                <c:pt idx="3">
                  <c:v>0.43927719999999998</c:v>
                </c:pt>
                <c:pt idx="4" formatCode="0.000">
                  <c:v>1.7571087999999999</c:v>
                </c:pt>
              </c:numCache>
            </c:numRef>
          </c:val>
          <c:extLst>
            <c:ext xmlns:c16="http://schemas.microsoft.com/office/drawing/2014/chart" uri="{C3380CC4-5D6E-409C-BE32-E72D297353CC}">
              <c16:uniqueId val="{00000006-DA61-47F0-8CAD-17170DB20873}"/>
            </c:ext>
          </c:extLst>
        </c:ser>
        <c:dLbls>
          <c:showLegendKey val="0"/>
          <c:showVal val="0"/>
          <c:showCatName val="0"/>
          <c:showSerName val="0"/>
          <c:showPercent val="0"/>
          <c:showBubbleSize val="0"/>
        </c:dLbls>
        <c:gapWidth val="219"/>
        <c:overlap val="-27"/>
        <c:axId val="948830143"/>
        <c:axId val="1229740240"/>
      </c:barChart>
      <c:catAx>
        <c:axId val="948830143"/>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1" i="0" u="none" strike="noStrike" kern="1200" baseline="0">
                <a:solidFill>
                  <a:schemeClr val="accent3">
                    <a:lumMod val="25000"/>
                  </a:schemeClr>
                </a:solidFill>
                <a:latin typeface="+mn-lt"/>
                <a:ea typeface="+mn-ea"/>
                <a:cs typeface="+mn-cs"/>
              </a:defRPr>
            </a:pPr>
            <a:endParaRPr lang="en-US"/>
          </a:p>
        </c:txPr>
        <c:crossAx val="1229740240"/>
        <c:crosses val="autoZero"/>
        <c:auto val="1"/>
        <c:lblAlgn val="ctr"/>
        <c:lblOffset val="100"/>
        <c:noMultiLvlLbl val="0"/>
      </c:catAx>
      <c:valAx>
        <c:axId val="1229740240"/>
        <c:scaling>
          <c:orientation val="minMax"/>
        </c:scaling>
        <c:delete val="0"/>
        <c:axPos val="l"/>
        <c:majorGridlines>
          <c:spPr>
            <a:ln w="9525" cap="flat" cmpd="sng" algn="ctr">
              <a:solidFill>
                <a:schemeClr val="tx1">
                  <a:lumMod val="15000"/>
                  <a:lumOff val="85000"/>
                </a:schemeClr>
              </a:solidFill>
              <a:round/>
            </a:ln>
            <a:effectLst/>
          </c:spPr>
        </c:majorGridlines>
        <c:numFmt formatCode="0.0000" sourceLinked="1"/>
        <c:majorTickMark val="none"/>
        <c:minorTickMark val="none"/>
        <c:tickLblPos val="nextTo"/>
        <c:spPr>
          <a:noFill/>
          <a:ln>
            <a:noFill/>
          </a:ln>
          <a:effectLst/>
        </c:spPr>
        <c:txPr>
          <a:bodyPr rot="-60000000" spcFirstLastPara="1" vertOverflow="ellipsis" vert="horz" wrap="square" anchor="ctr" anchorCtr="1"/>
          <a:lstStyle/>
          <a:p>
            <a:pPr>
              <a:defRPr sz="900" b="1" i="0" u="none" strike="noStrike" kern="1200" baseline="0">
                <a:solidFill>
                  <a:schemeClr val="accent3">
                    <a:lumMod val="25000"/>
                  </a:schemeClr>
                </a:solidFill>
                <a:latin typeface="+mn-lt"/>
                <a:ea typeface="+mn-ea"/>
                <a:cs typeface="+mn-cs"/>
              </a:defRPr>
            </a:pPr>
            <a:endParaRPr lang="en-US"/>
          </a:p>
        </c:txPr>
        <c:crossAx val="948830143"/>
        <c:crosses val="autoZero"/>
        <c:crossBetween val="between"/>
      </c:valAx>
      <c:spPr>
        <a:noFill/>
        <a:ln>
          <a:noFill/>
        </a:ln>
        <a:effectLst/>
      </c:spPr>
    </c:plotArea>
    <c:legend>
      <c:legendPos val="r"/>
      <c:overlay val="0"/>
      <c:spPr>
        <a:noFill/>
        <a:ln>
          <a:noFill/>
        </a:ln>
        <a:effectLst/>
      </c:spPr>
      <c:txPr>
        <a:bodyPr rot="0" spcFirstLastPara="1" vertOverflow="ellipsis" vert="horz" wrap="square" anchor="ctr" anchorCtr="1"/>
        <a:lstStyle/>
        <a:p>
          <a:pPr>
            <a:defRPr sz="900" b="1" i="0" u="none" strike="noStrike" kern="1200" baseline="0">
              <a:solidFill>
                <a:schemeClr val="accent3">
                  <a:lumMod val="25000"/>
                </a:schemeClr>
              </a:solidFill>
              <a:latin typeface="+mn-lt"/>
              <a:ea typeface="+mn-ea"/>
              <a:cs typeface="+mn-cs"/>
            </a:defRPr>
          </a:pPr>
          <a:endParaRPr lang="en-US"/>
        </a:p>
      </c:txPr>
    </c:legend>
    <c:plotVisOnly val="1"/>
    <c:dispBlanksAs val="gap"/>
    <c:showDLblsOverMax val="0"/>
  </c:chart>
  <c:spPr>
    <a:solidFill>
      <a:srgbClr val="FFFFFF"/>
    </a:solidFill>
    <a:ln w="9525" cap="flat" cmpd="sng" algn="ctr">
      <a:noFill/>
      <a:prstDash val="solid"/>
      <a:round/>
      <a:extLst>
        <a:ext uri="{C807C97D-BFC1-408E-A445-0C87EB9F89A2}">
          <ask:lineSketchStyleProps xmlns:ask="http://schemas.microsoft.com/office/drawing/2018/sketchyshapes">
            <ask:type>
              <ask:lineSketchNone/>
            </ask:type>
          </ask:lineSketchStyleProps>
        </a:ext>
      </a:extLst>
    </a:ln>
    <a:effectLst/>
  </c:spPr>
  <c:txPr>
    <a:bodyPr/>
    <a:lstStyle/>
    <a:p>
      <a:pPr>
        <a:defRPr b="1"/>
      </a:pPr>
      <a:endParaRPr lang="en-US"/>
    </a:p>
  </c:txPr>
  <c:printSettings>
    <c:headerFooter/>
    <c:pageMargins b="0.75" l="0.7" r="0.7" t="0.75" header="0.3" footer="0.3"/>
    <c:pageSetup/>
  </c:printSettings>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8" Type="http://schemas.openxmlformats.org/officeDocument/2006/relationships/image" Target="../media/image6.png"/><Relationship Id="rId13" Type="http://schemas.openxmlformats.org/officeDocument/2006/relationships/image" Target="../media/image9.png"/><Relationship Id="rId3" Type="http://schemas.openxmlformats.org/officeDocument/2006/relationships/image" Target="../media/image3.png"/><Relationship Id="rId7" Type="http://schemas.openxmlformats.org/officeDocument/2006/relationships/hyperlink" Target="#Atnaujinimas!A1"/><Relationship Id="rId12" Type="http://schemas.openxmlformats.org/officeDocument/2006/relationships/image" Target="../media/image8.png"/><Relationship Id="rId2" Type="http://schemas.openxmlformats.org/officeDocument/2006/relationships/image" Target="../media/image2.svg"/><Relationship Id="rId16" Type="http://schemas.openxmlformats.org/officeDocument/2006/relationships/image" Target="../media/image10.png"/><Relationship Id="rId1" Type="http://schemas.openxmlformats.org/officeDocument/2006/relationships/image" Target="../media/image1.png"/><Relationship Id="rId6" Type="http://schemas.openxmlformats.org/officeDocument/2006/relationships/image" Target="../media/image5.png"/><Relationship Id="rId11" Type="http://schemas.microsoft.com/office/2007/relationships/hdphoto" Target="../media/hdphoto1.wdp"/><Relationship Id="rId5" Type="http://schemas.openxmlformats.org/officeDocument/2006/relationships/hyperlink" Target="#Skai&#269;iuokl&#279;!A1"/><Relationship Id="rId15" Type="http://schemas.openxmlformats.org/officeDocument/2006/relationships/hyperlink" Target="https://aaa.lrv.lt/lt/veiklos-sritys/teisekuros-poveikio-vertinimas/" TargetMode="External"/><Relationship Id="rId10" Type="http://schemas.openxmlformats.org/officeDocument/2006/relationships/image" Target="../media/image7.png"/><Relationship Id="rId4" Type="http://schemas.openxmlformats.org/officeDocument/2006/relationships/image" Target="../media/image4.svg"/><Relationship Id="rId9" Type="http://schemas.openxmlformats.org/officeDocument/2006/relationships/hyperlink" Target="#'Naudojimosi instrukcija'!A1"/><Relationship Id="rId14" Type="http://schemas.microsoft.com/office/2007/relationships/hdphoto" Target="../media/hdphoto2.wdp"/></Relationships>
</file>

<file path=xl/drawings/_rels/drawing2.xml.rels><?xml version="1.0" encoding="UTF-8" standalone="yes"?>
<Relationships xmlns="http://schemas.openxmlformats.org/package/2006/relationships"><Relationship Id="rId8" Type="http://schemas.openxmlformats.org/officeDocument/2006/relationships/image" Target="../media/image1.png"/><Relationship Id="rId13" Type="http://schemas.openxmlformats.org/officeDocument/2006/relationships/image" Target="../media/image6.png"/><Relationship Id="rId18" Type="http://schemas.openxmlformats.org/officeDocument/2006/relationships/image" Target="../media/image14.png"/><Relationship Id="rId3" Type="http://schemas.openxmlformats.org/officeDocument/2006/relationships/image" Target="../media/image12.png"/><Relationship Id="rId7" Type="http://schemas.openxmlformats.org/officeDocument/2006/relationships/image" Target="../media/image4.svg"/><Relationship Id="rId12" Type="http://schemas.openxmlformats.org/officeDocument/2006/relationships/hyperlink" Target="#Atnaujinimas!A1"/><Relationship Id="rId17" Type="http://schemas.microsoft.com/office/2007/relationships/hdphoto" Target="../media/hdphoto1.wdp"/><Relationship Id="rId2" Type="http://schemas.openxmlformats.org/officeDocument/2006/relationships/image" Target="../media/image8.png"/><Relationship Id="rId16" Type="http://schemas.openxmlformats.org/officeDocument/2006/relationships/image" Target="../media/image7.png"/><Relationship Id="rId1" Type="http://schemas.openxmlformats.org/officeDocument/2006/relationships/image" Target="../media/image11.png"/><Relationship Id="rId6" Type="http://schemas.openxmlformats.org/officeDocument/2006/relationships/image" Target="../media/image3.png"/><Relationship Id="rId11" Type="http://schemas.openxmlformats.org/officeDocument/2006/relationships/image" Target="../media/image13.png"/><Relationship Id="rId5" Type="http://schemas.openxmlformats.org/officeDocument/2006/relationships/hyperlink" Target="https://www.gamta.lt/apie-agentura/aplinkos-apsaugos-agenturos-veiklu-zemelapis/153" TargetMode="External"/><Relationship Id="rId15" Type="http://schemas.openxmlformats.org/officeDocument/2006/relationships/hyperlink" Target="#'Naudojimosi instrukcija'!A1"/><Relationship Id="rId10" Type="http://schemas.openxmlformats.org/officeDocument/2006/relationships/hyperlink" Target="#Prad&#382;ia!A1"/><Relationship Id="rId19" Type="http://schemas.microsoft.com/office/2007/relationships/hdphoto" Target="../media/hdphoto4.wdp"/><Relationship Id="rId4" Type="http://schemas.microsoft.com/office/2007/relationships/hdphoto" Target="../media/hdphoto3.wdp"/><Relationship Id="rId9" Type="http://schemas.openxmlformats.org/officeDocument/2006/relationships/image" Target="../media/image2.svg"/><Relationship Id="rId14" Type="http://schemas.openxmlformats.org/officeDocument/2006/relationships/chart" Target="../charts/chart1.xml"/></Relationships>
</file>

<file path=xl/drawings/_rels/drawing3.xml.rels><?xml version="1.0" encoding="UTF-8" standalone="yes"?>
<Relationships xmlns="http://schemas.openxmlformats.org/package/2006/relationships"><Relationship Id="rId8" Type="http://schemas.openxmlformats.org/officeDocument/2006/relationships/hyperlink" Target="#Atnaujinimas!A1"/><Relationship Id="rId13" Type="http://schemas.microsoft.com/office/2007/relationships/hdphoto" Target="../media/hdphoto5.wdp"/><Relationship Id="rId3" Type="http://schemas.openxmlformats.org/officeDocument/2006/relationships/image" Target="../media/image3.png"/><Relationship Id="rId7" Type="http://schemas.openxmlformats.org/officeDocument/2006/relationships/image" Target="../media/image5.png"/><Relationship Id="rId12" Type="http://schemas.openxmlformats.org/officeDocument/2006/relationships/image" Target="../media/image15.png"/><Relationship Id="rId2" Type="http://schemas.openxmlformats.org/officeDocument/2006/relationships/image" Target="../media/image2.svg"/><Relationship Id="rId1" Type="http://schemas.openxmlformats.org/officeDocument/2006/relationships/image" Target="../media/image1.png"/><Relationship Id="rId6" Type="http://schemas.openxmlformats.org/officeDocument/2006/relationships/hyperlink" Target="#Skai&#269;iuokl&#279;!A1"/><Relationship Id="rId11" Type="http://schemas.openxmlformats.org/officeDocument/2006/relationships/image" Target="../media/image13.png"/><Relationship Id="rId5" Type="http://schemas.openxmlformats.org/officeDocument/2006/relationships/image" Target="../media/image8.png"/><Relationship Id="rId15" Type="http://schemas.openxmlformats.org/officeDocument/2006/relationships/image" Target="../media/image10.png"/><Relationship Id="rId10" Type="http://schemas.openxmlformats.org/officeDocument/2006/relationships/hyperlink" Target="#Prad&#382;ia!A1"/><Relationship Id="rId4" Type="http://schemas.openxmlformats.org/officeDocument/2006/relationships/image" Target="../media/image4.svg"/><Relationship Id="rId9" Type="http://schemas.openxmlformats.org/officeDocument/2006/relationships/image" Target="../media/image6.png"/><Relationship Id="rId14" Type="http://schemas.openxmlformats.org/officeDocument/2006/relationships/hyperlink" Target="https://aaa.lrv.lt/lt/veiklos-sritys/teisekuros-poveikio-vertinimas/" TargetMode="External"/></Relationships>
</file>

<file path=xl/drawings/_rels/drawing4.xml.rels><?xml version="1.0" encoding="UTF-8" standalone="yes"?>
<Relationships xmlns="http://schemas.openxmlformats.org/package/2006/relationships"><Relationship Id="rId8" Type="http://schemas.openxmlformats.org/officeDocument/2006/relationships/hyperlink" Target="#Atnaujinimas!A1"/><Relationship Id="rId13" Type="http://schemas.openxmlformats.org/officeDocument/2006/relationships/image" Target="../media/image14.png"/><Relationship Id="rId18" Type="http://schemas.openxmlformats.org/officeDocument/2006/relationships/chart" Target="../charts/chart2.xml"/><Relationship Id="rId3" Type="http://schemas.openxmlformats.org/officeDocument/2006/relationships/hyperlink" Target="https://www.gamta.lt/apie-agentura/aplinkos-apsaugos-agenturos-veiklu-zemelapis/153" TargetMode="External"/><Relationship Id="rId7" Type="http://schemas.openxmlformats.org/officeDocument/2006/relationships/image" Target="../media/image13.png"/><Relationship Id="rId12" Type="http://schemas.microsoft.com/office/2007/relationships/hdphoto" Target="../media/hdphoto1.wdp"/><Relationship Id="rId17" Type="http://schemas.openxmlformats.org/officeDocument/2006/relationships/image" Target="../media/image18.png"/><Relationship Id="rId2" Type="http://schemas.openxmlformats.org/officeDocument/2006/relationships/image" Target="../media/image8.png"/><Relationship Id="rId16" Type="http://schemas.openxmlformats.org/officeDocument/2006/relationships/image" Target="../media/image17.png"/><Relationship Id="rId20" Type="http://schemas.openxmlformats.org/officeDocument/2006/relationships/image" Target="../media/image10.png"/><Relationship Id="rId1" Type="http://schemas.openxmlformats.org/officeDocument/2006/relationships/image" Target="../media/image11.png"/><Relationship Id="rId6" Type="http://schemas.openxmlformats.org/officeDocument/2006/relationships/hyperlink" Target="#Prad&#382;ia!A1"/><Relationship Id="rId11" Type="http://schemas.openxmlformats.org/officeDocument/2006/relationships/image" Target="../media/image7.png"/><Relationship Id="rId5" Type="http://schemas.openxmlformats.org/officeDocument/2006/relationships/image" Target="../media/image2.svg"/><Relationship Id="rId15" Type="http://schemas.openxmlformats.org/officeDocument/2006/relationships/image" Target="../media/image16.png"/><Relationship Id="rId10" Type="http://schemas.openxmlformats.org/officeDocument/2006/relationships/hyperlink" Target="#'Naudojimosi instrukcija'!A1"/><Relationship Id="rId19" Type="http://schemas.openxmlformats.org/officeDocument/2006/relationships/hyperlink" Target="https://aaa.lrv.lt/lt/veiklos-sritys/teisekuros-poveikio-vertinimas/" TargetMode="External"/><Relationship Id="rId4" Type="http://schemas.openxmlformats.org/officeDocument/2006/relationships/image" Target="../media/image1.png"/><Relationship Id="rId9" Type="http://schemas.openxmlformats.org/officeDocument/2006/relationships/image" Target="../media/image6.png"/><Relationship Id="rId14" Type="http://schemas.microsoft.com/office/2007/relationships/hdphoto" Target="../media/hdphoto4.wdp"/></Relationships>
</file>

<file path=xl/drawings/_rels/drawing5.xml.rels><?xml version="1.0" encoding="UTF-8" standalone="yes"?>
<Relationships xmlns="http://schemas.openxmlformats.org/package/2006/relationships"><Relationship Id="rId8" Type="http://schemas.openxmlformats.org/officeDocument/2006/relationships/image" Target="../media/image13.png"/><Relationship Id="rId13" Type="http://schemas.openxmlformats.org/officeDocument/2006/relationships/image" Target="../media/image20.png"/><Relationship Id="rId3" Type="http://schemas.openxmlformats.org/officeDocument/2006/relationships/image" Target="../media/image3.png"/><Relationship Id="rId7" Type="http://schemas.openxmlformats.org/officeDocument/2006/relationships/hyperlink" Target="#Prad&#382;ia!A1"/><Relationship Id="rId12" Type="http://schemas.openxmlformats.org/officeDocument/2006/relationships/image" Target="../media/image19.png"/><Relationship Id="rId2" Type="http://schemas.openxmlformats.org/officeDocument/2006/relationships/image" Target="../media/image8.png"/><Relationship Id="rId16" Type="http://schemas.openxmlformats.org/officeDocument/2006/relationships/image" Target="../media/image10.png"/><Relationship Id="rId1" Type="http://schemas.openxmlformats.org/officeDocument/2006/relationships/image" Target="../media/image11.png"/><Relationship Id="rId6" Type="http://schemas.openxmlformats.org/officeDocument/2006/relationships/image" Target="../media/image2.svg"/><Relationship Id="rId11" Type="http://schemas.openxmlformats.org/officeDocument/2006/relationships/hyperlink" Target="#'Naudojimosi instrukcija'!A1"/><Relationship Id="rId5" Type="http://schemas.openxmlformats.org/officeDocument/2006/relationships/image" Target="../media/image1.png"/><Relationship Id="rId15" Type="http://schemas.openxmlformats.org/officeDocument/2006/relationships/hyperlink" Target="https://aaa.lrv.lt/lt/veiklos-sritys/teisekuros-poveikio-vertinimas/" TargetMode="External"/><Relationship Id="rId10" Type="http://schemas.openxmlformats.org/officeDocument/2006/relationships/image" Target="../media/image5.png"/><Relationship Id="rId4" Type="http://schemas.openxmlformats.org/officeDocument/2006/relationships/image" Target="../media/image4.svg"/><Relationship Id="rId9" Type="http://schemas.openxmlformats.org/officeDocument/2006/relationships/hyperlink" Target="#Skai&#269;iuokl&#279;!A1"/><Relationship Id="rId14" Type="http://schemas.microsoft.com/office/2007/relationships/hdphoto" Target="../media/hdphoto6.wdp"/></Relationships>
</file>

<file path=xl/drawings/drawing1.xml><?xml version="1.0" encoding="utf-8"?>
<xdr:wsDr xmlns:xdr="http://schemas.openxmlformats.org/drawingml/2006/spreadsheetDrawing" xmlns:a="http://schemas.openxmlformats.org/drawingml/2006/main">
  <xdr:twoCellAnchor>
    <xdr:from>
      <xdr:col>16</xdr:col>
      <xdr:colOff>423057</xdr:colOff>
      <xdr:row>8</xdr:row>
      <xdr:rowOff>230085</xdr:rowOff>
    </xdr:from>
    <xdr:to>
      <xdr:col>29</xdr:col>
      <xdr:colOff>350651</xdr:colOff>
      <xdr:row>60</xdr:row>
      <xdr:rowOff>80819</xdr:rowOff>
    </xdr:to>
    <xdr:sp macro="" textlink="">
      <xdr:nvSpPr>
        <xdr:cNvPr id="39" name="TextBox 25">
          <a:extLst>
            <a:ext uri="{FF2B5EF4-FFF2-40B4-BE49-F238E27FC236}">
              <a16:creationId xmlns:a16="http://schemas.microsoft.com/office/drawing/2014/main" id="{F4CB99FE-34F2-467A-8F09-52C9950E4B01}"/>
            </a:ext>
          </a:extLst>
        </xdr:cNvPr>
        <xdr:cNvSpPr txBox="1"/>
      </xdr:nvSpPr>
      <xdr:spPr>
        <a:xfrm>
          <a:off x="11137239" y="1800267"/>
          <a:ext cx="8332685" cy="9791370"/>
        </a:xfrm>
        <a:prstGeom prst="rect">
          <a:avLst/>
        </a:prstGeom>
        <a:solidFill>
          <a:srgbClr val="FFFFFF"/>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l">
            <a:lnSpc>
              <a:spcPct val="150000"/>
            </a:lnSpc>
            <a:spcBef>
              <a:spcPts val="200"/>
            </a:spcBef>
            <a:spcAft>
              <a:spcPts val="1000"/>
            </a:spcAft>
          </a:pPr>
          <a:endParaRPr lang="lt-LT" sz="1400" b="1" i="0">
            <a:solidFill>
              <a:schemeClr val="accent3">
                <a:lumMod val="25000"/>
              </a:schemeClr>
            </a:solidFill>
            <a:effectLst/>
            <a:latin typeface="+mn-lt"/>
            <a:ea typeface="+mn-ea"/>
            <a:cs typeface="+mn-cs"/>
          </a:endParaRPr>
        </a:p>
        <a:p>
          <a:pPr algn="l">
            <a:lnSpc>
              <a:spcPct val="150000"/>
            </a:lnSpc>
            <a:spcBef>
              <a:spcPts val="500"/>
            </a:spcBef>
            <a:spcAft>
              <a:spcPts val="500"/>
            </a:spcAft>
          </a:pPr>
          <a:r>
            <a:rPr lang="lt-LT" sz="1400" b="1" i="0">
              <a:solidFill>
                <a:schemeClr val="accent3">
                  <a:lumMod val="25000"/>
                </a:schemeClr>
              </a:solidFill>
              <a:effectLst/>
              <a:latin typeface="+mn-lt"/>
              <a:ea typeface="+mn-ea"/>
              <a:cs typeface="+mn-cs"/>
            </a:rPr>
            <a:t>Bazinė </a:t>
          </a:r>
          <a:r>
            <a:rPr lang="en-US" sz="1400" b="1" i="0">
              <a:solidFill>
                <a:schemeClr val="accent3">
                  <a:lumMod val="25000"/>
                </a:schemeClr>
              </a:solidFill>
              <a:effectLst/>
              <a:latin typeface="+mn-lt"/>
              <a:ea typeface="+mn-ea"/>
              <a:cs typeface="+mn-cs"/>
            </a:rPr>
            <a:t>degal</a:t>
          </a:r>
          <a:r>
            <a:rPr lang="lt-LT" sz="1400" b="1" i="0">
              <a:solidFill>
                <a:schemeClr val="accent3">
                  <a:lumMod val="25000"/>
                </a:schemeClr>
              </a:solidFill>
              <a:effectLst/>
              <a:latin typeface="+mn-lt"/>
              <a:ea typeface="+mn-ea"/>
              <a:cs typeface="+mn-cs"/>
            </a:rPr>
            <a:t>ų</a:t>
          </a:r>
          <a:r>
            <a:rPr lang="lt-LT" sz="1400" b="1" i="0" baseline="0">
              <a:solidFill>
                <a:schemeClr val="accent3">
                  <a:lumMod val="25000"/>
                </a:schemeClr>
              </a:solidFill>
              <a:effectLst/>
              <a:latin typeface="+mn-lt"/>
              <a:ea typeface="+mn-ea"/>
              <a:cs typeface="+mn-cs"/>
            </a:rPr>
            <a:t> rūšis</a:t>
          </a:r>
          <a:r>
            <a:rPr lang="lt-LT" sz="1400" b="1" i="0">
              <a:solidFill>
                <a:schemeClr val="accent3">
                  <a:lumMod val="25000"/>
                </a:schemeClr>
              </a:solidFill>
              <a:effectLst/>
              <a:latin typeface="+mn-lt"/>
              <a:ea typeface="+mn-ea"/>
              <a:cs typeface="+mn-cs"/>
            </a:rPr>
            <a:t> </a:t>
          </a:r>
          <a:r>
            <a:rPr lang="lt-LT" sz="1400" b="0" i="0" baseline="0">
              <a:solidFill>
                <a:schemeClr val="accent3">
                  <a:lumMod val="25000"/>
                </a:schemeClr>
              </a:solidFill>
              <a:effectLst/>
              <a:latin typeface="+mn-lt"/>
              <a:ea typeface="+mn-ea"/>
              <a:cs typeface="+mn-cs"/>
            </a:rPr>
            <a:t>–</a:t>
          </a:r>
          <a:r>
            <a:rPr lang="lt-LT" sz="1400" b="1" i="0">
              <a:solidFill>
                <a:schemeClr val="accent3">
                  <a:lumMod val="25000"/>
                </a:schemeClr>
              </a:solidFill>
              <a:effectLst/>
              <a:latin typeface="+mn-lt"/>
              <a:ea typeface="+mn-ea"/>
              <a:cs typeface="+mn-cs"/>
            </a:rPr>
            <a:t> </a:t>
          </a:r>
          <a:r>
            <a:rPr lang="lt-LT" sz="1400" b="0" i="0">
              <a:solidFill>
                <a:schemeClr val="accent3">
                  <a:lumMod val="25000"/>
                </a:schemeClr>
              </a:solidFill>
              <a:effectLst/>
              <a:latin typeface="+mn-lt"/>
              <a:ea typeface="+mn-ea"/>
              <a:cs typeface="+mn-cs"/>
            </a:rPr>
            <a:t>tranporto</a:t>
          </a:r>
          <a:r>
            <a:rPr lang="lt-LT" sz="1400" b="0" i="0" baseline="0">
              <a:solidFill>
                <a:schemeClr val="accent3">
                  <a:lumMod val="25000"/>
                </a:schemeClr>
              </a:solidFill>
              <a:effectLst/>
              <a:latin typeface="+mn-lt"/>
              <a:ea typeface="+mn-ea"/>
              <a:cs typeface="+mn-cs"/>
            </a:rPr>
            <a:t> priemonės </a:t>
          </a:r>
          <a:r>
            <a:rPr lang="lt-LT" sz="1400" b="0" i="0">
              <a:solidFill>
                <a:schemeClr val="accent3">
                  <a:lumMod val="25000"/>
                </a:schemeClr>
              </a:solidFill>
              <a:effectLst/>
              <a:latin typeface="+mn-lt"/>
              <a:ea typeface="+mn-ea"/>
              <a:cs typeface="+mn-cs"/>
            </a:rPr>
            <a:t>degalų rūšis</a:t>
          </a:r>
          <a:r>
            <a:rPr lang="lt-LT" sz="1400" b="0" i="0" baseline="0">
              <a:solidFill>
                <a:schemeClr val="accent3">
                  <a:lumMod val="25000"/>
                </a:schemeClr>
              </a:solidFill>
              <a:effectLst/>
              <a:latin typeface="+mn-lt"/>
              <a:ea typeface="+mn-ea"/>
              <a:cs typeface="+mn-cs"/>
            </a:rPr>
            <a:t> prieš </a:t>
          </a:r>
          <a:r>
            <a:rPr kumimoji="0" lang="lt-LT" sz="1400" b="0" i="0" u="none" strike="noStrike" kern="0" cap="none" spc="0" normalizeH="0" baseline="0" noProof="0">
              <a:ln>
                <a:noFill/>
              </a:ln>
              <a:solidFill>
                <a:schemeClr val="accent3">
                  <a:lumMod val="25000"/>
                </a:schemeClr>
              </a:solidFill>
              <a:effectLst/>
              <a:uLnTx/>
              <a:uFillTx/>
              <a:latin typeface="+mn-lt"/>
              <a:ea typeface="+mn-ea"/>
              <a:cs typeface="+mn-cs"/>
            </a:rPr>
            <a:t>prieš numatomą tesinį veiklos rodiklio reguliavimą</a:t>
          </a:r>
          <a:r>
            <a:rPr lang="lt-LT" sz="1400" b="0" i="0" baseline="0">
              <a:solidFill>
                <a:schemeClr val="accent3">
                  <a:lumMod val="25000"/>
                </a:schemeClr>
              </a:solidFill>
              <a:effectLst/>
              <a:latin typeface="+mn-lt"/>
              <a:ea typeface="+mn-ea"/>
              <a:cs typeface="+mn-cs"/>
            </a:rPr>
            <a:t>;</a:t>
          </a:r>
        </a:p>
        <a:p>
          <a:pPr algn="l">
            <a:lnSpc>
              <a:spcPct val="150000"/>
            </a:lnSpc>
            <a:spcBef>
              <a:spcPts val="500"/>
            </a:spcBef>
            <a:spcAft>
              <a:spcPts val="500"/>
            </a:spcAft>
          </a:pPr>
          <a:r>
            <a:rPr lang="lt-LT" sz="1400" b="1" i="0" baseline="0">
              <a:solidFill>
                <a:schemeClr val="accent3">
                  <a:lumMod val="25000"/>
                </a:schemeClr>
              </a:solidFill>
              <a:effectLst/>
              <a:latin typeface="+mn-lt"/>
              <a:ea typeface="+mn-ea"/>
              <a:cs typeface="+mn-cs"/>
            </a:rPr>
            <a:t>Bazinis emisijų standartas</a:t>
          </a:r>
          <a:r>
            <a:rPr lang="lt-LT" sz="1400" b="0" i="0" baseline="0">
              <a:solidFill>
                <a:schemeClr val="accent3">
                  <a:lumMod val="25000"/>
                </a:schemeClr>
              </a:solidFill>
              <a:effectLst/>
              <a:latin typeface="+mn-lt"/>
              <a:ea typeface="+mn-ea"/>
              <a:cs typeface="+mn-cs"/>
            </a:rPr>
            <a:t> - transporto priemonės emisijų standartas </a:t>
          </a:r>
          <a:r>
            <a:rPr kumimoji="0" lang="lt-LT" sz="1400" b="0" i="0" u="none" strike="noStrike" kern="0" cap="none" spc="0" normalizeH="0" baseline="0" noProof="0">
              <a:ln>
                <a:noFill/>
              </a:ln>
              <a:solidFill>
                <a:srgbClr val="F4FAF6">
                  <a:lumMod val="25000"/>
                </a:srgbClr>
              </a:solidFill>
              <a:effectLst/>
              <a:uLnTx/>
              <a:uFillTx/>
              <a:latin typeface="+mn-lt"/>
              <a:ea typeface="+mn-ea"/>
              <a:cs typeface="+mn-cs"/>
            </a:rPr>
            <a:t>prieš prieš numatomą tesinį veiklos rodiklio reguliavimą;</a:t>
          </a:r>
        </a:p>
        <a:p>
          <a:pPr marL="0" marR="0" lvl="0" indent="0" algn="l" defTabSz="914400" eaLnBrk="1" fontAlgn="auto" latinLnBrk="0" hangingPunct="1">
            <a:lnSpc>
              <a:spcPct val="150000"/>
            </a:lnSpc>
            <a:spcBef>
              <a:spcPts val="500"/>
            </a:spcBef>
            <a:spcAft>
              <a:spcPts val="500"/>
            </a:spcAft>
            <a:buClrTx/>
            <a:buSzTx/>
            <a:buFontTx/>
            <a:buNone/>
            <a:tabLst/>
            <a:defRPr/>
          </a:pPr>
          <a:r>
            <a:rPr kumimoji="0" lang="lt-LT" sz="1400" b="1" i="0" u="none" strike="noStrike" kern="0" cap="none" spc="0" normalizeH="0" baseline="0" noProof="0">
              <a:ln>
                <a:noFill/>
              </a:ln>
              <a:solidFill>
                <a:srgbClr val="F4FAF6">
                  <a:lumMod val="25000"/>
                </a:srgbClr>
              </a:solidFill>
              <a:effectLst/>
              <a:uLnTx/>
              <a:uFillTx/>
              <a:latin typeface="+mn-lt"/>
              <a:ea typeface="Calibri" panose="020F0502020204030204" pitchFamily="34" charset="0"/>
              <a:cs typeface="Arial" panose="020B0604020202020204" pitchFamily="34" charset="0"/>
            </a:rPr>
            <a:t>Bazinis </a:t>
          </a:r>
          <a:r>
            <a:rPr kumimoji="0" lang="lt-LT" sz="1400" b="1" i="0" u="none" strike="noStrike" kern="0" cap="none" spc="0" normalizeH="0" baseline="0" noProof="0">
              <a:ln>
                <a:noFill/>
              </a:ln>
              <a:solidFill>
                <a:srgbClr val="F4FAF6">
                  <a:lumMod val="25000"/>
                </a:srgbClr>
              </a:solidFill>
              <a:effectLst/>
              <a:uLnTx/>
              <a:uFillTx/>
              <a:latin typeface="+mn-lt"/>
              <a:ea typeface="+mn-ea"/>
              <a:cs typeface="+mn-cs"/>
            </a:rPr>
            <a:t>teršalo</a:t>
          </a:r>
          <a:r>
            <a:rPr kumimoji="0" lang="lt-LT" sz="1400" b="1" i="0" u="none" strike="noStrike" kern="0" cap="none" spc="0" normalizeH="0" baseline="0" noProof="0">
              <a:ln>
                <a:noFill/>
              </a:ln>
              <a:solidFill>
                <a:srgbClr val="F4FAF6">
                  <a:lumMod val="25000"/>
                </a:srgbClr>
              </a:solidFill>
              <a:effectLst/>
              <a:uLnTx/>
              <a:uFillTx/>
              <a:latin typeface="+mn-lt"/>
              <a:ea typeface="Calibri" panose="020F0502020204030204" pitchFamily="34" charset="0"/>
              <a:cs typeface="Arial" panose="020B0604020202020204" pitchFamily="34" charset="0"/>
            </a:rPr>
            <a:t> kiekis</a:t>
          </a:r>
          <a:r>
            <a:rPr kumimoji="0" lang="lt-LT" sz="1400" b="0" i="0" u="none" strike="noStrike" kern="0" cap="none" spc="0" normalizeH="0" baseline="0" noProof="0">
              <a:ln>
                <a:noFill/>
              </a:ln>
              <a:solidFill>
                <a:srgbClr val="F4FAF6">
                  <a:lumMod val="25000"/>
                </a:srgbClr>
              </a:solidFill>
              <a:effectLst/>
              <a:uLnTx/>
              <a:uFillTx/>
              <a:latin typeface="+mn-lt"/>
              <a:ea typeface="Calibri" panose="020F0502020204030204" pitchFamily="34" charset="0"/>
              <a:cs typeface="Arial" panose="020B0604020202020204" pitchFamily="34" charset="0"/>
            </a:rPr>
            <a:t>  – </a:t>
          </a:r>
          <a:r>
            <a:rPr kumimoji="0" lang="lt-LT" sz="1400" b="0" i="0" u="none" strike="noStrike" kern="0" cap="none" spc="0" normalizeH="0" baseline="0" noProof="0">
              <a:ln>
                <a:noFill/>
              </a:ln>
              <a:solidFill>
                <a:srgbClr val="F4FAF6">
                  <a:lumMod val="25000"/>
                </a:srgbClr>
              </a:solidFill>
              <a:effectLst/>
              <a:uLnTx/>
              <a:uFillTx/>
              <a:latin typeface="+mn-lt"/>
              <a:ea typeface="+mn-ea"/>
              <a:cs typeface="+mn-cs"/>
            </a:rPr>
            <a:t>teršalo</a:t>
          </a:r>
          <a:r>
            <a:rPr kumimoji="0" lang="lt-LT" sz="1400" b="0" i="0" u="none" strike="noStrike" kern="0" cap="none" spc="0" normalizeH="0" baseline="0" noProof="0">
              <a:ln>
                <a:noFill/>
              </a:ln>
              <a:solidFill>
                <a:srgbClr val="F4FAF6">
                  <a:lumMod val="25000"/>
                </a:srgbClr>
              </a:solidFill>
              <a:effectLst/>
              <a:uLnTx/>
              <a:uFillTx/>
              <a:latin typeface="+mn-lt"/>
              <a:ea typeface="Calibri" panose="020F0502020204030204" pitchFamily="34" charset="0"/>
              <a:cs typeface="Arial" panose="020B0604020202020204" pitchFamily="34" charset="0"/>
            </a:rPr>
            <a:t> kiekis, </a:t>
          </a:r>
          <a:r>
            <a:rPr kumimoji="0" lang="lt-LT" sz="1400" b="0" i="0" u="none" strike="noStrike" kern="0" cap="none" spc="0" normalizeH="0" baseline="0" noProof="0">
              <a:ln>
                <a:noFill/>
              </a:ln>
              <a:solidFill>
                <a:srgbClr val="F4FAF6">
                  <a:lumMod val="25000"/>
                </a:srgbClr>
              </a:solidFill>
              <a:effectLst/>
              <a:uLnTx/>
              <a:uFillTx/>
              <a:latin typeface="+mn-lt"/>
              <a:ea typeface="Times New Roman" panose="02020603050405020304" pitchFamily="18" charset="0"/>
              <a:cs typeface="+mn-cs"/>
            </a:rPr>
            <a:t>kuris susidarytų neįgyvendinus teisėkūros iniciatyvos</a:t>
          </a:r>
          <a:r>
            <a:rPr kumimoji="0" lang="lt-LT" sz="1400" b="0" i="0" u="none" strike="noStrike" kern="0" cap="none" spc="0" normalizeH="0" baseline="0" noProof="0">
              <a:ln>
                <a:noFill/>
              </a:ln>
              <a:solidFill>
                <a:srgbClr val="F4FAF6">
                  <a:lumMod val="25000"/>
                </a:srgbClr>
              </a:solidFill>
              <a:effectLst/>
              <a:uLnTx/>
              <a:uFillTx/>
              <a:latin typeface="+mn-lt"/>
              <a:ea typeface="Calibri" panose="020F0502020204030204" pitchFamily="34" charset="0"/>
              <a:cs typeface="Arial" panose="020B0604020202020204" pitchFamily="34" charset="0"/>
            </a:rPr>
            <a:t>. Atskaitos taškas, nuo kurio vertinamas teisėkūros iniciatyvos poveikis aplinkos oro kokybei;</a:t>
          </a:r>
          <a:endParaRPr lang="lt-LT" sz="1400" b="1" i="0">
            <a:solidFill>
              <a:schemeClr val="accent3">
                <a:lumMod val="25000"/>
              </a:schemeClr>
            </a:solidFill>
            <a:effectLst/>
            <a:latin typeface="+mn-lt"/>
            <a:ea typeface="+mn-ea"/>
            <a:cs typeface="+mn-cs"/>
          </a:endParaRPr>
        </a:p>
        <a:p>
          <a:pPr algn="l">
            <a:lnSpc>
              <a:spcPct val="150000"/>
            </a:lnSpc>
            <a:spcBef>
              <a:spcPts val="500"/>
            </a:spcBef>
            <a:spcAft>
              <a:spcPts val="500"/>
            </a:spcAft>
          </a:pPr>
          <a:r>
            <a:rPr lang="lt-LT" sz="1400" b="1" i="0">
              <a:solidFill>
                <a:schemeClr val="accent3">
                  <a:lumMod val="25000"/>
                </a:schemeClr>
              </a:solidFill>
              <a:effectLst/>
              <a:latin typeface="+mn-lt"/>
              <a:ea typeface="+mn-ea"/>
              <a:cs typeface="+mn-cs"/>
            </a:rPr>
            <a:t>Dujos - </a:t>
          </a:r>
          <a:r>
            <a:rPr lang="lt-LT" sz="1400" b="0" i="0">
              <a:solidFill>
                <a:schemeClr val="accent3">
                  <a:lumMod val="25000"/>
                </a:schemeClr>
              </a:solidFill>
              <a:effectLst/>
              <a:latin typeface="+mn-lt"/>
              <a:ea typeface="+mn-ea"/>
              <a:cs typeface="+mn-cs"/>
            </a:rPr>
            <a:t>suskystintos naft</a:t>
          </a:r>
          <a:r>
            <a:rPr lang="en-US" sz="1400" b="0" i="0">
              <a:solidFill>
                <a:schemeClr val="accent3">
                  <a:lumMod val="25000"/>
                </a:schemeClr>
              </a:solidFill>
              <a:effectLst/>
              <a:latin typeface="+mn-lt"/>
              <a:ea typeface="+mn-ea"/>
              <a:cs typeface="+mn-cs"/>
            </a:rPr>
            <a:t>os</a:t>
          </a:r>
          <a:r>
            <a:rPr lang="lt-LT" sz="1400" b="0" i="0" baseline="0">
              <a:solidFill>
                <a:schemeClr val="accent3">
                  <a:lumMod val="25000"/>
                </a:schemeClr>
              </a:solidFill>
              <a:effectLst/>
              <a:latin typeface="+mn-lt"/>
              <a:ea typeface="+mn-ea"/>
              <a:cs typeface="+mn-cs"/>
            </a:rPr>
            <a:t> dujos;</a:t>
          </a:r>
        </a:p>
        <a:p>
          <a:pPr algn="l">
            <a:lnSpc>
              <a:spcPct val="150000"/>
            </a:lnSpc>
            <a:spcBef>
              <a:spcPts val="500"/>
            </a:spcBef>
            <a:spcAft>
              <a:spcPts val="500"/>
            </a:spcAft>
          </a:pPr>
          <a:r>
            <a:rPr lang="lt-LT" sz="1400" b="1" i="0">
              <a:solidFill>
                <a:schemeClr val="accent3">
                  <a:lumMod val="25000"/>
                </a:schemeClr>
              </a:solidFill>
              <a:effectLst/>
              <a:latin typeface="+mn-lt"/>
              <a:ea typeface="+mn-ea"/>
              <a:cs typeface="+mn-cs"/>
            </a:rPr>
            <a:t>Emisijų standartas </a:t>
          </a:r>
          <a:r>
            <a:rPr lang="lt-LT" sz="1400" b="0" i="0" baseline="0">
              <a:solidFill>
                <a:schemeClr val="accent3">
                  <a:lumMod val="25000"/>
                </a:schemeClr>
              </a:solidFill>
              <a:effectLst/>
              <a:latin typeface="+mn-lt"/>
              <a:ea typeface="+mn-ea"/>
              <a:cs typeface="+mn-cs"/>
            </a:rPr>
            <a:t>–</a:t>
          </a:r>
          <a:r>
            <a:rPr lang="lt-LT" sz="1400" b="0" i="0">
              <a:solidFill>
                <a:schemeClr val="accent3">
                  <a:lumMod val="25000"/>
                </a:schemeClr>
              </a:solidFill>
              <a:effectLst/>
              <a:latin typeface="+mn-lt"/>
              <a:ea typeface="+mn-ea"/>
              <a:cs typeface="+mn-cs"/>
            </a:rPr>
            <a:t> transporto priemonių išmetamųjų teršalų lygis</a:t>
          </a:r>
          <a:r>
            <a:rPr lang="lt-LT" sz="1400" b="0" i="0" baseline="0">
              <a:solidFill>
                <a:schemeClr val="accent3">
                  <a:lumMod val="25000"/>
                </a:schemeClr>
              </a:solidFill>
              <a:effectLst/>
              <a:latin typeface="+mn-lt"/>
              <a:ea typeface="+mn-ea"/>
              <a:cs typeface="+mn-cs"/>
            </a:rPr>
            <a:t> (Euro standartas);</a:t>
          </a:r>
          <a:endParaRPr lang="lt-LT" sz="1400" b="0" i="0">
            <a:solidFill>
              <a:schemeClr val="accent3">
                <a:lumMod val="25000"/>
              </a:schemeClr>
            </a:solidFill>
            <a:effectLst/>
            <a:latin typeface="+mn-lt"/>
            <a:ea typeface="+mn-ea"/>
            <a:cs typeface="+mn-cs"/>
          </a:endParaRPr>
        </a:p>
        <a:p>
          <a:pPr algn="l">
            <a:lnSpc>
              <a:spcPct val="150000"/>
            </a:lnSpc>
            <a:spcBef>
              <a:spcPts val="500"/>
            </a:spcBef>
            <a:spcAft>
              <a:spcPts val="500"/>
            </a:spcAft>
          </a:pPr>
          <a:r>
            <a:rPr lang="lt-LT" sz="1400" b="1" i="0">
              <a:solidFill>
                <a:schemeClr val="accent3">
                  <a:lumMod val="25000"/>
                </a:schemeClr>
              </a:solidFill>
              <a:effectLst/>
              <a:latin typeface="+mn-lt"/>
              <a:ea typeface="+mn-ea"/>
              <a:cs typeface="+mn-cs"/>
            </a:rPr>
            <a:t>KD 2,5 </a:t>
          </a:r>
          <a:r>
            <a:rPr lang="lt-LT" sz="1400" b="0" i="0" baseline="0">
              <a:solidFill>
                <a:schemeClr val="accent3">
                  <a:lumMod val="25000"/>
                </a:schemeClr>
              </a:solidFill>
              <a:effectLst/>
              <a:latin typeface="+mn-lt"/>
              <a:ea typeface="+mn-ea"/>
              <a:cs typeface="+mn-cs"/>
            </a:rPr>
            <a:t>–</a:t>
          </a:r>
          <a:r>
            <a:rPr lang="lt-LT" sz="1400" b="1" i="0">
              <a:solidFill>
                <a:schemeClr val="accent3">
                  <a:lumMod val="25000"/>
                </a:schemeClr>
              </a:solidFill>
              <a:effectLst/>
              <a:latin typeface="+mn-lt"/>
              <a:ea typeface="+mn-ea"/>
              <a:cs typeface="+mn-cs"/>
            </a:rPr>
            <a:t> </a:t>
          </a:r>
          <a:r>
            <a:rPr lang="lt-LT" sz="1400" b="0" i="0">
              <a:solidFill>
                <a:schemeClr val="accent3">
                  <a:lumMod val="25000"/>
                </a:schemeClr>
              </a:solidFill>
              <a:effectLst/>
              <a:latin typeface="+mn-lt"/>
              <a:ea typeface="+mn-ea"/>
              <a:cs typeface="+mn-cs"/>
            </a:rPr>
            <a:t>kietosios</a:t>
          </a:r>
          <a:r>
            <a:rPr lang="lt-LT" sz="1400" b="0" i="0" baseline="0">
              <a:solidFill>
                <a:schemeClr val="accent3">
                  <a:lumMod val="25000"/>
                </a:schemeClr>
              </a:solidFill>
              <a:effectLst/>
              <a:latin typeface="+mn-lt"/>
              <a:ea typeface="+mn-ea"/>
              <a:cs typeface="+mn-cs"/>
            </a:rPr>
            <a:t> dalelės, kurių aerodinaminis skersmuo yra 2,5 mikrometrų (</a:t>
          </a:r>
          <a:r>
            <a:rPr lang="el-GR" sz="1400" b="0" i="0" baseline="0">
              <a:solidFill>
                <a:schemeClr val="accent3">
                  <a:lumMod val="25000"/>
                </a:schemeClr>
              </a:solidFill>
              <a:effectLst/>
              <a:latin typeface="+mn-lt"/>
              <a:ea typeface="+mn-ea"/>
              <a:cs typeface="+mn-cs"/>
            </a:rPr>
            <a:t>μ</a:t>
          </a:r>
          <a:r>
            <a:rPr lang="lt-LT" sz="1400" b="0" i="0" baseline="0">
              <a:solidFill>
                <a:schemeClr val="accent3">
                  <a:lumMod val="25000"/>
                </a:schemeClr>
              </a:solidFill>
              <a:effectLst/>
              <a:latin typeface="+mn-lt"/>
              <a:ea typeface="+mn-ea"/>
              <a:cs typeface="+mn-cs"/>
            </a:rPr>
            <a:t>m) arba mažesnis;</a:t>
          </a:r>
          <a:endParaRPr lang="lt-LT" sz="1400" b="1">
            <a:solidFill>
              <a:schemeClr val="accent3">
                <a:lumMod val="25000"/>
              </a:schemeClr>
            </a:solidFill>
            <a:effectLst/>
            <a:latin typeface="+mn-lt"/>
            <a:ea typeface="+mn-ea"/>
            <a:cs typeface="+mn-cs"/>
          </a:endParaRPr>
        </a:p>
        <a:p>
          <a:pPr algn="l">
            <a:lnSpc>
              <a:spcPct val="150000"/>
            </a:lnSpc>
            <a:spcBef>
              <a:spcPts val="500"/>
            </a:spcBef>
            <a:spcAft>
              <a:spcPts val="500"/>
            </a:spcAft>
          </a:pPr>
          <a:r>
            <a:rPr lang="lt-LT" sz="1400" b="1">
              <a:solidFill>
                <a:schemeClr val="accent3">
                  <a:lumMod val="25000"/>
                </a:schemeClr>
              </a:solidFill>
              <a:effectLst/>
              <a:latin typeface="+mn-lt"/>
              <a:ea typeface="+mn-ea"/>
              <a:cs typeface="+mn-cs"/>
            </a:rPr>
            <a:t>NH</a:t>
          </a:r>
          <a:r>
            <a:rPr lang="lt-LT" sz="1400" b="1" baseline="-25000">
              <a:solidFill>
                <a:schemeClr val="accent3">
                  <a:lumMod val="25000"/>
                </a:schemeClr>
              </a:solidFill>
              <a:effectLst/>
              <a:latin typeface="+mn-lt"/>
              <a:ea typeface="+mn-ea"/>
              <a:cs typeface="+mn-cs"/>
            </a:rPr>
            <a:t>3</a:t>
          </a:r>
          <a:r>
            <a:rPr lang="lt-LT" sz="1400" b="1">
              <a:solidFill>
                <a:schemeClr val="accent3">
                  <a:lumMod val="25000"/>
                </a:schemeClr>
              </a:solidFill>
              <a:effectLst/>
              <a:latin typeface="+mn-lt"/>
              <a:ea typeface="+mn-ea"/>
              <a:cs typeface="+mn-cs"/>
            </a:rPr>
            <a:t> </a:t>
          </a:r>
          <a:r>
            <a:rPr lang="lt-LT" sz="1400" b="0" i="0" baseline="0">
              <a:solidFill>
                <a:schemeClr val="accent3">
                  <a:lumMod val="25000"/>
                </a:schemeClr>
              </a:solidFill>
              <a:effectLst/>
              <a:latin typeface="+mn-lt"/>
              <a:ea typeface="+mn-ea"/>
              <a:cs typeface="+mn-cs"/>
            </a:rPr>
            <a:t>–</a:t>
          </a:r>
          <a:r>
            <a:rPr lang="lt-LT" sz="1400" b="1">
              <a:solidFill>
                <a:schemeClr val="accent3">
                  <a:lumMod val="25000"/>
                </a:schemeClr>
              </a:solidFill>
              <a:effectLst/>
              <a:latin typeface="+mn-lt"/>
              <a:ea typeface="+mn-ea"/>
              <a:cs typeface="+mn-cs"/>
            </a:rPr>
            <a:t> </a:t>
          </a:r>
          <a:r>
            <a:rPr lang="lt-LT" sz="1400" b="0">
              <a:solidFill>
                <a:schemeClr val="accent3">
                  <a:lumMod val="25000"/>
                </a:schemeClr>
              </a:solidFill>
              <a:effectLst/>
              <a:latin typeface="+mn-lt"/>
              <a:ea typeface="+mn-ea"/>
              <a:cs typeface="+mn-cs"/>
            </a:rPr>
            <a:t>amoniakas;</a:t>
          </a:r>
          <a:endParaRPr lang="lt-LT" sz="1400" b="1">
            <a:solidFill>
              <a:schemeClr val="accent3">
                <a:lumMod val="25000"/>
              </a:schemeClr>
            </a:solidFill>
            <a:effectLst/>
            <a:latin typeface="+mn-lt"/>
            <a:ea typeface="+mn-ea"/>
            <a:cs typeface="+mn-cs"/>
          </a:endParaRPr>
        </a:p>
        <a:p>
          <a:pPr algn="l">
            <a:lnSpc>
              <a:spcPct val="150000"/>
            </a:lnSpc>
            <a:spcBef>
              <a:spcPts val="500"/>
            </a:spcBef>
            <a:spcAft>
              <a:spcPts val="500"/>
            </a:spcAft>
          </a:pPr>
          <a:r>
            <a:rPr lang="lt-LT" sz="1400" b="1">
              <a:solidFill>
                <a:schemeClr val="accent3">
                  <a:lumMod val="25000"/>
                </a:schemeClr>
              </a:solidFill>
              <a:effectLst/>
              <a:latin typeface="+mn-lt"/>
              <a:ea typeface="+mn-ea"/>
              <a:cs typeface="+mn-cs"/>
            </a:rPr>
            <a:t>NMLOJ - </a:t>
          </a:r>
          <a:r>
            <a:rPr lang="lt-LT" sz="1400" b="0">
              <a:solidFill>
                <a:schemeClr val="accent3">
                  <a:lumMod val="25000"/>
                </a:schemeClr>
              </a:solidFill>
              <a:effectLst/>
              <a:latin typeface="+mn-lt"/>
              <a:ea typeface="+mn-ea"/>
              <a:cs typeface="+mn-cs"/>
            </a:rPr>
            <a:t>nemetatiniai lakieji organiniai junginiai. Visi lakieji</a:t>
          </a:r>
          <a:r>
            <a:rPr lang="lt-LT" sz="1400" b="0" baseline="0">
              <a:solidFill>
                <a:schemeClr val="accent3">
                  <a:lumMod val="25000"/>
                </a:schemeClr>
              </a:solidFill>
              <a:effectLst/>
              <a:latin typeface="+mn-lt"/>
              <a:ea typeface="+mn-ea"/>
              <a:cs typeface="+mn-cs"/>
            </a:rPr>
            <a:t> </a:t>
          </a:r>
          <a:r>
            <a:rPr lang="lt-LT" sz="1400" b="0">
              <a:solidFill>
                <a:schemeClr val="accent3">
                  <a:lumMod val="25000"/>
                </a:schemeClr>
              </a:solidFill>
              <a:effectLst/>
              <a:latin typeface="+mn-lt"/>
              <a:ea typeface="+mn-ea"/>
              <a:cs typeface="+mn-cs"/>
            </a:rPr>
            <a:t> organiniai junginiai, išskyrus metaną, kuriems saulės šviesoje reaguojant su azoto oksidais gali susidaryti fotocheminių oksidatorių;</a:t>
          </a:r>
          <a:endParaRPr lang="lt-LT" sz="1400" b="1">
            <a:solidFill>
              <a:schemeClr val="accent3">
                <a:lumMod val="25000"/>
              </a:schemeClr>
            </a:solidFill>
            <a:effectLst/>
            <a:latin typeface="+mn-lt"/>
            <a:ea typeface="+mn-ea"/>
            <a:cs typeface="+mn-cs"/>
          </a:endParaRPr>
        </a:p>
        <a:p>
          <a:pPr algn="l">
            <a:lnSpc>
              <a:spcPct val="150000"/>
            </a:lnSpc>
            <a:spcBef>
              <a:spcPts val="500"/>
            </a:spcBef>
            <a:spcAft>
              <a:spcPts val="500"/>
            </a:spcAft>
          </a:pPr>
          <a:r>
            <a:rPr lang="lt-LT" sz="1400" b="1">
              <a:solidFill>
                <a:schemeClr val="accent3">
                  <a:lumMod val="25000"/>
                </a:schemeClr>
              </a:solidFill>
              <a:effectLst/>
              <a:latin typeface="+mn-lt"/>
              <a:ea typeface="+mn-ea"/>
              <a:cs typeface="+mn-cs"/>
            </a:rPr>
            <a:t>NOx - </a:t>
          </a:r>
          <a:r>
            <a:rPr lang="lt-LT" sz="1400" b="0">
              <a:solidFill>
                <a:schemeClr val="accent3">
                  <a:lumMod val="25000"/>
                </a:schemeClr>
              </a:solidFill>
              <a:effectLst/>
              <a:latin typeface="+mn-lt"/>
              <a:ea typeface="+mn-ea"/>
              <a:cs typeface="+mn-cs"/>
            </a:rPr>
            <a:t>azoto oksidai</a:t>
          </a:r>
          <a:r>
            <a:rPr lang="en-US" sz="1400" b="0">
              <a:solidFill>
                <a:schemeClr val="accent3">
                  <a:lumMod val="25000"/>
                </a:schemeClr>
              </a:solidFill>
              <a:effectLst/>
              <a:latin typeface="+mn-lt"/>
              <a:ea typeface="+mn-ea"/>
              <a:cs typeface="+mn-cs"/>
            </a:rPr>
            <a:t>;</a:t>
          </a:r>
        </a:p>
        <a:p>
          <a:pPr algn="l">
            <a:lnSpc>
              <a:spcPct val="150000"/>
            </a:lnSpc>
            <a:spcBef>
              <a:spcPts val="500"/>
            </a:spcBef>
            <a:spcAft>
              <a:spcPts val="500"/>
            </a:spcAft>
          </a:pPr>
          <a:r>
            <a:rPr lang="lt-LT" sz="1400" b="1" i="0">
              <a:solidFill>
                <a:schemeClr val="accent3">
                  <a:lumMod val="25000"/>
                </a:schemeClr>
              </a:solidFill>
              <a:effectLst/>
              <a:latin typeface="+mn-lt"/>
              <a:ea typeface="+mn-ea"/>
              <a:cs typeface="+mn-cs"/>
            </a:rPr>
            <a:t>Projektinė</a:t>
          </a:r>
          <a:r>
            <a:rPr lang="lt-LT" sz="1400" b="1" i="0" baseline="0">
              <a:solidFill>
                <a:schemeClr val="accent3">
                  <a:lumMod val="25000"/>
                </a:schemeClr>
              </a:solidFill>
              <a:effectLst/>
              <a:latin typeface="+mn-lt"/>
              <a:ea typeface="+mn-ea"/>
              <a:cs typeface="+mn-cs"/>
            </a:rPr>
            <a:t> degalų rūšis </a:t>
          </a:r>
          <a:r>
            <a:rPr lang="lt-LT" sz="1400" b="0" i="0" baseline="0">
              <a:solidFill>
                <a:schemeClr val="accent3">
                  <a:lumMod val="25000"/>
                </a:schemeClr>
              </a:solidFill>
              <a:effectLst/>
              <a:latin typeface="+mn-lt"/>
              <a:ea typeface="+mn-ea"/>
              <a:cs typeface="+mn-cs"/>
            </a:rPr>
            <a:t>–</a:t>
          </a:r>
          <a:r>
            <a:rPr lang="lt-LT" sz="1400" b="1" i="0">
              <a:solidFill>
                <a:schemeClr val="accent3">
                  <a:lumMod val="25000"/>
                </a:schemeClr>
              </a:solidFill>
              <a:effectLst/>
              <a:latin typeface="+mn-lt"/>
              <a:ea typeface="+mn-ea"/>
              <a:cs typeface="+mn-cs"/>
            </a:rPr>
            <a:t>  </a:t>
          </a:r>
          <a:r>
            <a:rPr kumimoji="0" lang="lt-LT" sz="1400" b="0" i="0" u="none" strike="noStrike" kern="0" cap="none" spc="0" normalizeH="0" baseline="0" noProof="0">
              <a:ln>
                <a:noFill/>
              </a:ln>
              <a:solidFill>
                <a:srgbClr val="F4FAF6">
                  <a:lumMod val="25000"/>
                </a:srgbClr>
              </a:solidFill>
              <a:effectLst/>
              <a:uLnTx/>
              <a:uFillTx/>
              <a:latin typeface="+mn-lt"/>
              <a:ea typeface="+mn-ea"/>
              <a:cs typeface="+mn-cs"/>
            </a:rPr>
            <a:t>tranporto priemonės degalų rūšis</a:t>
          </a:r>
          <a:r>
            <a:rPr kumimoji="0" lang="lt-LT" sz="1400" b="0" i="0" u="none" strike="noStrike" kern="0" cap="none" spc="0" normalizeH="0" baseline="0" noProof="0">
              <a:ln>
                <a:noFill/>
              </a:ln>
              <a:solidFill>
                <a:schemeClr val="accent3">
                  <a:lumMod val="25000"/>
                </a:schemeClr>
              </a:solidFill>
              <a:effectLst/>
              <a:uLnTx/>
              <a:uFillTx/>
              <a:latin typeface="+mn-lt"/>
              <a:ea typeface="+mn-ea"/>
              <a:cs typeface="+mn-cs"/>
            </a:rPr>
            <a:t>, jei numatomas teisinis veiklos rodiklio reguliavimas būtų įgyvendintas;</a:t>
          </a:r>
        </a:p>
        <a:p>
          <a:pPr algn="l">
            <a:lnSpc>
              <a:spcPct val="150000"/>
            </a:lnSpc>
            <a:spcBef>
              <a:spcPts val="500"/>
            </a:spcBef>
            <a:spcAft>
              <a:spcPts val="500"/>
            </a:spcAft>
          </a:pPr>
          <a:r>
            <a:rPr kumimoji="0" lang="lt-LT" sz="1400" b="1" i="0" u="none" strike="noStrike" kern="0" cap="none" spc="0" normalizeH="0" baseline="0" noProof="0">
              <a:ln>
                <a:noFill/>
              </a:ln>
              <a:solidFill>
                <a:schemeClr val="accent3">
                  <a:lumMod val="25000"/>
                </a:schemeClr>
              </a:solidFill>
              <a:effectLst/>
              <a:uLnTx/>
              <a:uFillTx/>
              <a:latin typeface="+mn-lt"/>
              <a:ea typeface="+mn-ea"/>
              <a:cs typeface="+mn-cs"/>
            </a:rPr>
            <a:t>Projektinis emisijų stand</a:t>
          </a:r>
          <a:r>
            <a:rPr kumimoji="0" lang="en-US" sz="1400" b="1" i="0" u="none" strike="noStrike" kern="0" cap="none" spc="0" normalizeH="0" baseline="0" noProof="0">
              <a:ln>
                <a:noFill/>
              </a:ln>
              <a:solidFill>
                <a:schemeClr val="accent3">
                  <a:lumMod val="25000"/>
                </a:schemeClr>
              </a:solidFill>
              <a:effectLst/>
              <a:uLnTx/>
              <a:uFillTx/>
              <a:latin typeface="+mn-lt"/>
              <a:ea typeface="+mn-ea"/>
              <a:cs typeface="+mn-cs"/>
            </a:rPr>
            <a:t>a</a:t>
          </a:r>
          <a:r>
            <a:rPr kumimoji="0" lang="lt-LT" sz="1400" b="1" i="0" u="none" strike="noStrike" kern="0" cap="none" spc="0" normalizeH="0" baseline="0" noProof="0">
              <a:ln>
                <a:noFill/>
              </a:ln>
              <a:solidFill>
                <a:schemeClr val="accent3">
                  <a:lumMod val="25000"/>
                </a:schemeClr>
              </a:solidFill>
              <a:effectLst/>
              <a:uLnTx/>
              <a:uFillTx/>
              <a:latin typeface="+mn-lt"/>
              <a:ea typeface="+mn-ea"/>
              <a:cs typeface="+mn-cs"/>
            </a:rPr>
            <a:t>rtas</a:t>
          </a:r>
          <a:r>
            <a:rPr kumimoji="0" lang="lt-LT" sz="1400" b="0" i="0" u="none" strike="noStrike" kern="0" cap="none" spc="0" normalizeH="0" baseline="0" noProof="0">
              <a:ln>
                <a:noFill/>
              </a:ln>
              <a:solidFill>
                <a:schemeClr val="accent3">
                  <a:lumMod val="25000"/>
                </a:schemeClr>
              </a:solidFill>
              <a:effectLst/>
              <a:uLnTx/>
              <a:uFillTx/>
              <a:latin typeface="+mn-lt"/>
              <a:ea typeface="+mn-ea"/>
              <a:cs typeface="+mn-cs"/>
            </a:rPr>
            <a:t> - </a:t>
          </a:r>
          <a:r>
            <a:rPr kumimoji="0" lang="lt-LT" sz="1400" b="0" i="0" u="none" strike="noStrike" kern="0" cap="none" spc="0" normalizeH="0" baseline="0" noProof="0">
              <a:ln>
                <a:noFill/>
              </a:ln>
              <a:solidFill>
                <a:srgbClr val="F4FAF6">
                  <a:lumMod val="25000"/>
                </a:srgbClr>
              </a:solidFill>
              <a:effectLst/>
              <a:uLnTx/>
              <a:uFillTx/>
              <a:latin typeface="+mn-lt"/>
              <a:ea typeface="+mn-ea"/>
              <a:cs typeface="+mn-cs"/>
            </a:rPr>
            <a:t>transporto priemonės emisijų standartas, jei numatomas teisinis veiklos rodiklio reguliavimas būtų įgyvendintas; </a:t>
          </a:r>
        </a:p>
        <a:p>
          <a:pPr marL="0" marR="0" lvl="0" indent="0" algn="l" defTabSz="914400" eaLnBrk="1" fontAlgn="auto" latinLnBrk="0" hangingPunct="1">
            <a:lnSpc>
              <a:spcPct val="150000"/>
            </a:lnSpc>
            <a:spcBef>
              <a:spcPts val="500"/>
            </a:spcBef>
            <a:spcAft>
              <a:spcPts val="500"/>
            </a:spcAft>
            <a:buClrTx/>
            <a:buSzTx/>
            <a:buFontTx/>
            <a:buNone/>
            <a:tabLst/>
            <a:defRPr/>
          </a:pPr>
          <a:r>
            <a:rPr kumimoji="0" lang="lt-LT" sz="1400" b="1" i="0" u="none" strike="noStrike" kern="0" cap="none" spc="0" normalizeH="0" baseline="0" noProof="0">
              <a:ln>
                <a:noFill/>
              </a:ln>
              <a:solidFill>
                <a:srgbClr val="F4FAF6">
                  <a:lumMod val="25000"/>
                </a:srgbClr>
              </a:solidFill>
              <a:effectLst/>
              <a:uLnTx/>
              <a:uFillTx/>
              <a:latin typeface="+mn-lt"/>
              <a:ea typeface="Calibri" panose="020F0502020204030204" pitchFamily="34" charset="0"/>
              <a:cs typeface="Arial" panose="020B0604020202020204" pitchFamily="34" charset="0"/>
            </a:rPr>
            <a:t>Projektinis </a:t>
          </a:r>
          <a:r>
            <a:rPr kumimoji="0" lang="lt-LT" sz="1400" b="1" i="0" u="none" strike="noStrike" kern="0" cap="none" spc="0" normalizeH="0" baseline="0" noProof="0">
              <a:ln>
                <a:noFill/>
              </a:ln>
              <a:solidFill>
                <a:srgbClr val="F4FAF6">
                  <a:lumMod val="25000"/>
                </a:srgbClr>
              </a:solidFill>
              <a:effectLst/>
              <a:uLnTx/>
              <a:uFillTx/>
              <a:latin typeface="+mn-lt"/>
              <a:ea typeface="+mn-ea"/>
              <a:cs typeface="+mn-cs"/>
            </a:rPr>
            <a:t>terš</a:t>
          </a:r>
          <a:r>
            <a:rPr kumimoji="0" lang="en-US" sz="1400" b="1" i="0" u="none" strike="noStrike" kern="0" cap="none" spc="0" normalizeH="0" baseline="0" noProof="0">
              <a:ln>
                <a:noFill/>
              </a:ln>
              <a:solidFill>
                <a:srgbClr val="F4FAF6">
                  <a:lumMod val="25000"/>
                </a:srgbClr>
              </a:solidFill>
              <a:effectLst/>
              <a:uLnTx/>
              <a:uFillTx/>
              <a:latin typeface="+mn-lt"/>
              <a:ea typeface="+mn-ea"/>
              <a:cs typeface="+mn-cs"/>
            </a:rPr>
            <a:t>a</a:t>
          </a:r>
          <a:r>
            <a:rPr kumimoji="0" lang="lt-LT" sz="1400" b="1" i="0" u="none" strike="noStrike" kern="0" cap="none" spc="0" normalizeH="0" baseline="0" noProof="0">
              <a:ln>
                <a:noFill/>
              </a:ln>
              <a:solidFill>
                <a:srgbClr val="F4FAF6">
                  <a:lumMod val="25000"/>
                </a:srgbClr>
              </a:solidFill>
              <a:effectLst/>
              <a:uLnTx/>
              <a:uFillTx/>
              <a:latin typeface="+mn-lt"/>
              <a:ea typeface="+mn-ea"/>
              <a:cs typeface="+mn-cs"/>
            </a:rPr>
            <a:t>lo</a:t>
          </a:r>
          <a:r>
            <a:rPr kumimoji="0" lang="lt-LT" sz="1400" b="1" i="0" u="none" strike="noStrike" kern="0" cap="none" spc="0" normalizeH="0" baseline="0" noProof="0">
              <a:ln>
                <a:noFill/>
              </a:ln>
              <a:solidFill>
                <a:srgbClr val="F4FAF6">
                  <a:lumMod val="25000"/>
                </a:srgbClr>
              </a:solidFill>
              <a:effectLst/>
              <a:uLnTx/>
              <a:uFillTx/>
              <a:latin typeface="+mn-lt"/>
              <a:ea typeface="Calibri" panose="020F0502020204030204" pitchFamily="34" charset="0"/>
              <a:cs typeface="Arial" panose="020B0604020202020204" pitchFamily="34" charset="0"/>
            </a:rPr>
            <a:t> kiekis</a:t>
          </a:r>
          <a:r>
            <a:rPr kumimoji="0" lang="lt-LT" sz="1400" b="0" i="0" u="none" strike="noStrike" kern="0" cap="none" spc="0" normalizeH="0" baseline="0" noProof="0">
              <a:ln>
                <a:noFill/>
              </a:ln>
              <a:solidFill>
                <a:srgbClr val="F4FAF6">
                  <a:lumMod val="25000"/>
                </a:srgbClr>
              </a:solidFill>
              <a:effectLst/>
              <a:uLnTx/>
              <a:uFillTx/>
              <a:latin typeface="+mn-lt"/>
              <a:ea typeface="Calibri" panose="020F0502020204030204" pitchFamily="34" charset="0"/>
              <a:cs typeface="Arial" panose="020B0604020202020204" pitchFamily="34" charset="0"/>
            </a:rPr>
            <a:t>  – </a:t>
          </a:r>
          <a:r>
            <a:rPr kumimoji="0" lang="lt-LT" sz="1400" b="0" i="0" u="none" strike="noStrike" kern="0" cap="none" spc="0" normalizeH="0" baseline="0" noProof="0">
              <a:ln>
                <a:noFill/>
              </a:ln>
              <a:solidFill>
                <a:srgbClr val="F4FAF6">
                  <a:lumMod val="25000"/>
                </a:srgbClr>
              </a:solidFill>
              <a:effectLst/>
              <a:uLnTx/>
              <a:uFillTx/>
              <a:latin typeface="+mn-lt"/>
              <a:ea typeface="+mn-ea"/>
              <a:cs typeface="+mn-cs"/>
            </a:rPr>
            <a:t>teršalo</a:t>
          </a:r>
          <a:r>
            <a:rPr kumimoji="0" lang="lt-LT" sz="1400" b="0" i="0" u="none" strike="noStrike" kern="0" cap="none" spc="0" normalizeH="0" baseline="0" noProof="0">
              <a:ln>
                <a:noFill/>
              </a:ln>
              <a:solidFill>
                <a:srgbClr val="F4FAF6">
                  <a:lumMod val="25000"/>
                </a:srgbClr>
              </a:solidFill>
              <a:effectLst/>
              <a:uLnTx/>
              <a:uFillTx/>
              <a:latin typeface="+mn-lt"/>
              <a:ea typeface="Calibri" panose="020F0502020204030204" pitchFamily="34" charset="0"/>
              <a:cs typeface="Arial" panose="020B0604020202020204" pitchFamily="34" charset="0"/>
            </a:rPr>
            <a:t> kiekis, </a:t>
          </a:r>
          <a:r>
            <a:rPr kumimoji="0" lang="lt-LT" sz="1400" b="0" i="0" u="none" strike="noStrike" kern="0" cap="none" spc="0" normalizeH="0" baseline="0" noProof="0">
              <a:ln>
                <a:noFill/>
              </a:ln>
              <a:solidFill>
                <a:srgbClr val="F4FAF6">
                  <a:lumMod val="25000"/>
                </a:srgbClr>
              </a:solidFill>
              <a:effectLst/>
              <a:uLnTx/>
              <a:uFillTx/>
              <a:latin typeface="+mn-lt"/>
              <a:ea typeface="Times New Roman" panose="02020603050405020304" pitchFamily="18" charset="0"/>
              <a:cs typeface="+mn-cs"/>
            </a:rPr>
            <a:t>kuris susidarytų įgyvendinus teisėkūros iniciatyvą;</a:t>
          </a:r>
          <a:r>
            <a:rPr kumimoji="0" lang="lt-LT" sz="1400" b="0" i="0" u="none" strike="noStrike" kern="0" cap="none" spc="0" normalizeH="0" baseline="0" noProof="0">
              <a:ln>
                <a:noFill/>
              </a:ln>
              <a:solidFill>
                <a:srgbClr val="F4FAF6">
                  <a:lumMod val="25000"/>
                </a:srgbClr>
              </a:solidFill>
              <a:effectLst/>
              <a:uLnTx/>
              <a:uFillTx/>
              <a:latin typeface="+mn-lt"/>
              <a:ea typeface="Calibri" panose="020F0502020204030204" pitchFamily="34" charset="0"/>
              <a:cs typeface="Arial" panose="020B0604020202020204" pitchFamily="34" charset="0"/>
            </a:rPr>
            <a:t> </a:t>
          </a:r>
          <a:endParaRPr kumimoji="0" lang="lt-LT" sz="1400" b="0" i="0" u="none" strike="noStrike" kern="0" cap="none" spc="0" normalizeH="0" baseline="0" noProof="0">
            <a:ln>
              <a:noFill/>
            </a:ln>
            <a:solidFill>
              <a:schemeClr val="accent3">
                <a:lumMod val="25000"/>
              </a:schemeClr>
            </a:solidFill>
            <a:effectLst/>
            <a:uLnTx/>
            <a:uFillTx/>
            <a:latin typeface="+mn-lt"/>
            <a:ea typeface="+mn-ea"/>
            <a:cs typeface="+mn-cs"/>
          </a:endParaRPr>
        </a:p>
        <a:p>
          <a:pPr marL="0" marR="0" lvl="0" indent="0" algn="l" defTabSz="914400" eaLnBrk="1" fontAlgn="auto" latinLnBrk="0" hangingPunct="1">
            <a:lnSpc>
              <a:spcPct val="150000"/>
            </a:lnSpc>
            <a:spcBef>
              <a:spcPts val="500"/>
            </a:spcBef>
            <a:spcAft>
              <a:spcPts val="500"/>
            </a:spcAft>
            <a:buClrTx/>
            <a:buSzTx/>
            <a:buFontTx/>
            <a:buNone/>
            <a:tabLst/>
            <a:defRPr/>
          </a:pPr>
          <a:r>
            <a:rPr kumimoji="0" lang="lt-LT" sz="1400" b="1" i="0" u="none" strike="noStrike" kern="0" cap="none" spc="0" normalizeH="0" baseline="0" noProof="0">
              <a:ln>
                <a:noFill/>
              </a:ln>
              <a:solidFill>
                <a:schemeClr val="accent3">
                  <a:lumMod val="25000"/>
                </a:schemeClr>
              </a:solidFill>
              <a:effectLst/>
              <a:uLnTx/>
              <a:uFillTx/>
              <a:latin typeface="+mn-lt"/>
              <a:ea typeface="+mn-ea"/>
              <a:cs typeface="+mn-cs"/>
            </a:rPr>
            <a:t>Poveikio vertinimas</a:t>
          </a:r>
          <a:r>
            <a:rPr kumimoji="0" lang="lt-LT" sz="1400" b="0" i="0" u="none" strike="noStrike" kern="0" cap="none" spc="0" normalizeH="0" baseline="0" noProof="0">
              <a:ln>
                <a:noFill/>
              </a:ln>
              <a:solidFill>
                <a:schemeClr val="accent3">
                  <a:lumMod val="25000"/>
                </a:schemeClr>
              </a:solidFill>
              <a:effectLst/>
              <a:uLnTx/>
              <a:uFillTx/>
              <a:latin typeface="+mn-lt"/>
              <a:ea typeface="+mn-ea"/>
              <a:cs typeface="+mn-cs"/>
            </a:rPr>
            <a:t> – teisėkūros iniciatyvos poveikio aplinkos oro teršalų kiekių pokyčiams vertinimas; </a:t>
          </a:r>
          <a:endParaRPr lang="lt-LT" sz="1400" b="1">
            <a:solidFill>
              <a:schemeClr val="accent3">
                <a:lumMod val="25000"/>
              </a:schemeClr>
            </a:solidFill>
            <a:effectLst/>
            <a:latin typeface="+mn-lt"/>
            <a:ea typeface="+mn-ea"/>
            <a:cs typeface="+mn-cs"/>
          </a:endParaRPr>
        </a:p>
        <a:p>
          <a:pPr marL="0" marR="0" lvl="0" indent="0" algn="l" defTabSz="914400" eaLnBrk="1" fontAlgn="auto" latinLnBrk="0" hangingPunct="1">
            <a:lnSpc>
              <a:spcPct val="150000"/>
            </a:lnSpc>
            <a:spcBef>
              <a:spcPts val="500"/>
            </a:spcBef>
            <a:spcAft>
              <a:spcPts val="500"/>
            </a:spcAft>
            <a:buClrTx/>
            <a:buSzTx/>
            <a:buFontTx/>
            <a:buNone/>
            <a:tabLst/>
            <a:defRPr/>
          </a:pPr>
          <a:r>
            <a:rPr kumimoji="0" lang="lt-LT" sz="1400" b="1" i="0" u="none" strike="noStrike" kern="0" cap="none" spc="0" normalizeH="0" baseline="0" noProof="0">
              <a:ln>
                <a:noFill/>
              </a:ln>
              <a:solidFill>
                <a:schemeClr val="accent3">
                  <a:lumMod val="25000"/>
                </a:schemeClr>
              </a:solidFill>
              <a:effectLst/>
              <a:uLnTx/>
              <a:uFillTx/>
              <a:latin typeface="+mn-lt"/>
              <a:ea typeface="+mn-ea"/>
              <a:cs typeface="+mn-cs"/>
            </a:rPr>
            <a:t>Teršalo (NOx, NMLOJ, KD 2.5, NH</a:t>
          </a:r>
          <a:r>
            <a:rPr kumimoji="0" lang="lt-LT" sz="1400" b="1" i="0" u="none" strike="noStrike" kern="0" cap="none" spc="0" normalizeH="0" baseline="-25000" noProof="0">
              <a:ln>
                <a:noFill/>
              </a:ln>
              <a:solidFill>
                <a:schemeClr val="accent3">
                  <a:lumMod val="25000"/>
                </a:schemeClr>
              </a:solidFill>
              <a:effectLst/>
              <a:uLnTx/>
              <a:uFillTx/>
              <a:latin typeface="+mn-lt"/>
              <a:ea typeface="+mn-ea"/>
              <a:cs typeface="+mn-cs"/>
            </a:rPr>
            <a:t>3</a:t>
          </a:r>
          <a:r>
            <a:rPr kumimoji="0" lang="lt-LT" sz="1400" b="1" i="0" u="none" strike="noStrike" kern="0" cap="none" spc="0" normalizeH="0" baseline="0" noProof="0">
              <a:ln>
                <a:noFill/>
              </a:ln>
              <a:solidFill>
                <a:schemeClr val="accent3">
                  <a:lumMod val="25000"/>
                </a:schemeClr>
              </a:solidFill>
              <a:effectLst/>
              <a:uLnTx/>
              <a:uFillTx/>
              <a:latin typeface="+mn-lt"/>
              <a:ea typeface="+mn-ea"/>
              <a:cs typeface="+mn-cs"/>
            </a:rPr>
            <a:t>) kiekio pokytis </a:t>
          </a:r>
          <a:r>
            <a:rPr kumimoji="0" lang="lt-LT" sz="1400" b="0" i="0" u="none" strike="noStrike" kern="0" cap="none" spc="0" normalizeH="0" baseline="0" noProof="0">
              <a:ln>
                <a:noFill/>
              </a:ln>
              <a:solidFill>
                <a:schemeClr val="accent3">
                  <a:lumMod val="25000"/>
                </a:schemeClr>
              </a:solidFill>
              <a:effectLst/>
              <a:uLnTx/>
              <a:uFillTx/>
              <a:latin typeface="+mn-lt"/>
              <a:ea typeface="+mn-ea"/>
              <a:cs typeface="+mn-cs"/>
            </a:rPr>
            <a:t>– </a:t>
          </a:r>
          <a:r>
            <a:rPr kumimoji="0" lang="lt-LT" sz="1400" b="0" i="0" u="none" strike="noStrike" kern="0" cap="none" spc="0" normalizeH="0" baseline="0" noProof="0">
              <a:ln>
                <a:noFill/>
              </a:ln>
              <a:solidFill>
                <a:srgbClr val="F4FAF6">
                  <a:lumMod val="25000"/>
                </a:srgbClr>
              </a:solidFill>
              <a:effectLst/>
              <a:uLnTx/>
              <a:uFillTx/>
              <a:latin typeface="+mn-lt"/>
              <a:ea typeface="+mn-ea"/>
              <a:cs typeface="+mn-cs"/>
            </a:rPr>
            <a:t>skirtumas tarp bazinio teršalo kiekio</a:t>
          </a:r>
          <a:r>
            <a:rPr kumimoji="0" lang="en-US" sz="1400" b="0" i="0" u="none" strike="noStrike" kern="0" cap="none" spc="0" normalizeH="0" baseline="0" noProof="0">
              <a:ln>
                <a:noFill/>
              </a:ln>
              <a:solidFill>
                <a:srgbClr val="F4FAF6">
                  <a:lumMod val="25000"/>
                </a:srgbClr>
              </a:solidFill>
              <a:effectLst/>
              <a:uLnTx/>
              <a:uFillTx/>
              <a:latin typeface="+mn-lt"/>
              <a:ea typeface="+mn-ea"/>
              <a:cs typeface="+mn-cs"/>
            </a:rPr>
            <a:t> </a:t>
          </a:r>
          <a:r>
            <a:rPr kumimoji="0" lang="lt-LT" sz="1400" b="0" i="0" u="none" strike="noStrike" kern="0" cap="none" spc="0" normalizeH="0" baseline="0" noProof="0">
              <a:ln>
                <a:noFill/>
              </a:ln>
              <a:solidFill>
                <a:srgbClr val="F4FAF6">
                  <a:lumMod val="25000"/>
                </a:srgbClr>
              </a:solidFill>
              <a:effectLst/>
              <a:uLnTx/>
              <a:uFillTx/>
              <a:latin typeface="+mn-lt"/>
              <a:ea typeface="+mn-ea"/>
              <a:cs typeface="+mn-cs"/>
            </a:rPr>
            <a:t> ir projektinio</a:t>
          </a:r>
          <a:r>
            <a:rPr kumimoji="0" lang="en-US" sz="1400" b="0" i="0" u="none" strike="noStrike" kern="0" cap="none" spc="0" normalizeH="0" baseline="0" noProof="0">
              <a:ln>
                <a:noFill/>
              </a:ln>
              <a:solidFill>
                <a:srgbClr val="F4FAF6">
                  <a:lumMod val="25000"/>
                </a:srgbClr>
              </a:solidFill>
              <a:effectLst/>
              <a:uLnTx/>
              <a:uFillTx/>
              <a:latin typeface="+mn-lt"/>
              <a:ea typeface="+mn-ea"/>
              <a:cs typeface="+mn-cs"/>
            </a:rPr>
            <a:t> </a:t>
          </a:r>
          <a:r>
            <a:rPr kumimoji="0" lang="lt-LT" sz="1400" b="0" i="0" u="none" strike="noStrike" kern="0" cap="none" spc="0" normalizeH="0" baseline="0" noProof="0">
              <a:ln>
                <a:noFill/>
              </a:ln>
              <a:solidFill>
                <a:srgbClr val="F4FAF6">
                  <a:lumMod val="25000"/>
                </a:srgbClr>
              </a:solidFill>
              <a:effectLst/>
              <a:uLnTx/>
              <a:uFillTx/>
              <a:latin typeface="+mn-lt"/>
              <a:ea typeface="+mn-ea"/>
              <a:cs typeface="+mn-cs"/>
            </a:rPr>
            <a:t> teršalo kiekio</a:t>
          </a:r>
          <a:r>
            <a:rPr kumimoji="0" lang="en-US" sz="1400" b="0" i="0" u="none" strike="noStrike" kern="0" cap="none" spc="0" normalizeH="0" baseline="0" noProof="0">
              <a:ln>
                <a:noFill/>
              </a:ln>
              <a:solidFill>
                <a:srgbClr val="F4FAF6">
                  <a:lumMod val="25000"/>
                </a:srgbClr>
              </a:solidFill>
              <a:effectLst/>
              <a:uLnTx/>
              <a:uFillTx/>
              <a:latin typeface="+mn-lt"/>
              <a:ea typeface="+mn-ea"/>
              <a:cs typeface="+mn-cs"/>
            </a:rPr>
            <a:t>, susidar</a:t>
          </a:r>
          <a:r>
            <a:rPr kumimoji="0" lang="lt-LT" sz="1400" b="0" i="0" u="none" strike="noStrike" kern="0" cap="none" spc="0" normalizeH="0" baseline="0" noProof="0">
              <a:ln>
                <a:noFill/>
              </a:ln>
              <a:solidFill>
                <a:srgbClr val="F4FAF6">
                  <a:lumMod val="25000"/>
                </a:srgbClr>
              </a:solidFill>
              <a:effectLst/>
              <a:uLnTx/>
              <a:uFillTx/>
              <a:latin typeface="+mn-lt"/>
              <a:ea typeface="+mn-ea"/>
              <a:cs typeface="+mn-cs"/>
            </a:rPr>
            <a:t>ęs</a:t>
          </a:r>
          <a:r>
            <a:rPr kumimoji="0" lang="en-US" sz="1400" b="0" i="0" u="none" strike="noStrike" kern="0" cap="none" spc="0" normalizeH="0" baseline="0" noProof="0">
              <a:ln>
                <a:noFill/>
              </a:ln>
              <a:solidFill>
                <a:srgbClr val="F4FAF6">
                  <a:lumMod val="25000"/>
                </a:srgbClr>
              </a:solidFill>
              <a:effectLst/>
              <a:uLnTx/>
              <a:uFillTx/>
              <a:latin typeface="+mn-lt"/>
              <a:ea typeface="+mn-ea"/>
              <a:cs typeface="+mn-cs"/>
            </a:rPr>
            <a:t> </a:t>
          </a:r>
          <a:r>
            <a:rPr kumimoji="0" lang="lt-LT" sz="1400" b="0" i="0" u="none" strike="noStrike" kern="0" cap="none" spc="0" normalizeH="0" baseline="0" noProof="0">
              <a:ln>
                <a:noFill/>
              </a:ln>
              <a:solidFill>
                <a:srgbClr val="F4FAF6">
                  <a:lumMod val="25000"/>
                </a:srgbClr>
              </a:solidFill>
              <a:effectLst/>
              <a:uLnTx/>
              <a:uFillTx/>
              <a:latin typeface="+mn-lt"/>
              <a:ea typeface="+mn-ea"/>
              <a:cs typeface="+mn-cs"/>
            </a:rPr>
            <a:t>per teisėkūros iniciatyvos taikymo laikotarpį</a:t>
          </a:r>
          <a:r>
            <a:rPr kumimoji="0" lang="lt-LT" sz="1400" b="0" i="0" u="none" strike="noStrike" kern="0" cap="none" spc="0" normalizeH="0" baseline="0" noProof="0">
              <a:ln>
                <a:noFill/>
              </a:ln>
              <a:solidFill>
                <a:schemeClr val="accent3">
                  <a:lumMod val="25000"/>
                </a:schemeClr>
              </a:solidFill>
              <a:effectLst/>
              <a:uLnTx/>
              <a:uFillTx/>
              <a:latin typeface="+mn-lt"/>
              <a:ea typeface="+mn-ea"/>
              <a:cs typeface="+mn-cs"/>
            </a:rPr>
            <a:t>;</a:t>
          </a:r>
          <a:endParaRPr kumimoji="0" lang="lt-LT" sz="1400" b="1" i="0" u="none" strike="noStrike" kern="0" cap="none" spc="0" normalizeH="0" baseline="0" noProof="0">
            <a:ln>
              <a:noFill/>
            </a:ln>
            <a:solidFill>
              <a:schemeClr val="accent3">
                <a:lumMod val="25000"/>
              </a:schemeClr>
            </a:solidFill>
            <a:effectLst/>
            <a:uLnTx/>
            <a:uFillTx/>
            <a:latin typeface="+mn-lt"/>
            <a:ea typeface="+mn-ea"/>
            <a:cs typeface="+mn-cs"/>
          </a:endParaRPr>
        </a:p>
        <a:p>
          <a:pPr marL="0" marR="0" lvl="0" indent="0" defTabSz="914400" eaLnBrk="1" fontAlgn="auto" latinLnBrk="0" hangingPunct="1">
            <a:lnSpc>
              <a:spcPct val="150000"/>
            </a:lnSpc>
            <a:spcBef>
              <a:spcPts val="500"/>
            </a:spcBef>
            <a:spcAft>
              <a:spcPts val="500"/>
            </a:spcAft>
            <a:buClrTx/>
            <a:buSzTx/>
            <a:buFontTx/>
            <a:buNone/>
            <a:tabLst/>
            <a:defRPr/>
          </a:pPr>
          <a:r>
            <a:rPr kumimoji="0" lang="lt-LT" sz="1400" b="1" i="0" u="none" strike="noStrike" kern="0" cap="none" spc="0" normalizeH="0" baseline="0" noProof="0">
              <a:ln>
                <a:noFill/>
              </a:ln>
              <a:solidFill>
                <a:schemeClr val="accent3">
                  <a:lumMod val="25000"/>
                </a:schemeClr>
              </a:solidFill>
              <a:effectLst/>
              <a:uLnTx/>
              <a:uFillTx/>
              <a:latin typeface="+mn-lt"/>
              <a:ea typeface="+mn-ea"/>
              <a:cs typeface="+mn-cs"/>
            </a:rPr>
            <a:t>Variantas (1-</a:t>
          </a:r>
          <a:r>
            <a:rPr kumimoji="0" lang="en-US" sz="1400" b="1" i="0" u="none" strike="noStrike" kern="0" cap="none" spc="0" normalizeH="0" baseline="0" noProof="0">
              <a:ln>
                <a:noFill/>
              </a:ln>
              <a:solidFill>
                <a:schemeClr val="accent3">
                  <a:lumMod val="25000"/>
                </a:schemeClr>
              </a:solidFill>
              <a:effectLst/>
              <a:uLnTx/>
              <a:uFillTx/>
              <a:latin typeface="+mn-lt"/>
              <a:ea typeface="+mn-ea"/>
              <a:cs typeface="+mn-cs"/>
            </a:rPr>
            <a:t>4</a:t>
          </a:r>
          <a:r>
            <a:rPr kumimoji="0" lang="lt-LT" sz="1400" b="1" i="0" u="none" strike="noStrike" kern="0" cap="none" spc="0" normalizeH="0" baseline="0" noProof="0">
              <a:ln>
                <a:noFill/>
              </a:ln>
              <a:solidFill>
                <a:schemeClr val="accent3">
                  <a:lumMod val="25000"/>
                </a:schemeClr>
              </a:solidFill>
              <a:effectLst/>
              <a:uLnTx/>
              <a:uFillTx/>
              <a:latin typeface="+mn-lt"/>
              <a:ea typeface="+mn-ea"/>
              <a:cs typeface="+mn-cs"/>
            </a:rPr>
            <a:t>)</a:t>
          </a:r>
          <a:r>
            <a:rPr kumimoji="0" lang="lt-LT" sz="1400" b="0" i="0" u="none" strike="noStrike" kern="0" cap="none" spc="0" normalizeH="0" baseline="0" noProof="0">
              <a:ln>
                <a:noFill/>
              </a:ln>
              <a:solidFill>
                <a:schemeClr val="accent3">
                  <a:lumMod val="25000"/>
                </a:schemeClr>
              </a:solidFill>
              <a:effectLst/>
              <a:uLnTx/>
              <a:uFillTx/>
              <a:latin typeface="+mn-lt"/>
              <a:ea typeface="+mn-ea"/>
              <a:cs typeface="+mn-cs"/>
            </a:rPr>
            <a:t> – specifinėmis prielaidomis ir parametrų duomenimis paremtas teisėkūros iniciatyvos poveikio teršalų kiekių pokyčiams analizės variantas.</a:t>
          </a:r>
        </a:p>
        <a:p>
          <a:pPr algn="l">
            <a:lnSpc>
              <a:spcPct val="100000"/>
            </a:lnSpc>
            <a:spcBef>
              <a:spcPts val="500"/>
            </a:spcBef>
            <a:spcAft>
              <a:spcPts val="500"/>
            </a:spcAft>
          </a:pPr>
          <a:endParaRPr lang="lt-LT" sz="1400" b="1">
            <a:solidFill>
              <a:schemeClr val="accent3">
                <a:lumMod val="25000"/>
              </a:schemeClr>
            </a:solidFill>
            <a:effectLst/>
            <a:latin typeface="+mn-lt"/>
            <a:ea typeface="+mn-ea"/>
            <a:cs typeface="+mn-cs"/>
          </a:endParaRPr>
        </a:p>
        <a:p>
          <a:pPr>
            <a:spcAft>
              <a:spcPts val="400"/>
            </a:spcAft>
          </a:pPr>
          <a:endParaRPr lang="lt-LT" sz="1400" i="1">
            <a:solidFill>
              <a:schemeClr val="accent3">
                <a:lumMod val="25000"/>
              </a:schemeClr>
            </a:solidFill>
            <a:effectLst/>
            <a:latin typeface="+mn-lt"/>
            <a:ea typeface="+mn-ea"/>
            <a:cs typeface="+mn-cs"/>
          </a:endParaRPr>
        </a:p>
        <a:p>
          <a:endParaRPr lang="lt-LT" sz="1400">
            <a:solidFill>
              <a:schemeClr val="accent3">
                <a:lumMod val="25000"/>
              </a:schemeClr>
            </a:solidFill>
          </a:endParaRPr>
        </a:p>
      </xdr:txBody>
    </xdr:sp>
    <xdr:clientData/>
  </xdr:twoCellAnchor>
  <xdr:twoCellAnchor>
    <xdr:from>
      <xdr:col>0</xdr:col>
      <xdr:colOff>141942</xdr:colOff>
      <xdr:row>5</xdr:row>
      <xdr:rowOff>7470</xdr:rowOff>
    </xdr:from>
    <xdr:to>
      <xdr:col>2</xdr:col>
      <xdr:colOff>201707</xdr:colOff>
      <xdr:row>6</xdr:row>
      <xdr:rowOff>44824</xdr:rowOff>
    </xdr:to>
    <xdr:sp macro="" textlink="">
      <xdr:nvSpPr>
        <xdr:cNvPr id="3" name="TextBox 2">
          <a:extLst>
            <a:ext uri="{FF2B5EF4-FFF2-40B4-BE49-F238E27FC236}">
              <a16:creationId xmlns:a16="http://schemas.microsoft.com/office/drawing/2014/main" id="{F7D8CBB6-5115-4476-B6AD-ED5F10BD4452}"/>
            </a:ext>
          </a:extLst>
        </xdr:cNvPr>
        <xdr:cNvSpPr txBox="1"/>
      </xdr:nvSpPr>
      <xdr:spPr>
        <a:xfrm>
          <a:off x="141942" y="1007595"/>
          <a:ext cx="1278965" cy="22785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endParaRPr lang="lt-LT" sz="1100"/>
        </a:p>
      </xdr:txBody>
    </xdr:sp>
    <xdr:clientData/>
  </xdr:twoCellAnchor>
  <xdr:twoCellAnchor>
    <xdr:from>
      <xdr:col>3</xdr:col>
      <xdr:colOff>500579</xdr:colOff>
      <xdr:row>1</xdr:row>
      <xdr:rowOff>169721</xdr:rowOff>
    </xdr:from>
    <xdr:to>
      <xdr:col>15</xdr:col>
      <xdr:colOff>127000</xdr:colOff>
      <xdr:row>6</xdr:row>
      <xdr:rowOff>108857</xdr:rowOff>
    </xdr:to>
    <xdr:sp macro="" textlink="">
      <xdr:nvSpPr>
        <xdr:cNvPr id="4" name="TextBox 3">
          <a:extLst>
            <a:ext uri="{FF2B5EF4-FFF2-40B4-BE49-F238E27FC236}">
              <a16:creationId xmlns:a16="http://schemas.microsoft.com/office/drawing/2014/main" id="{F4B667B6-5B93-4716-8B17-8DCABF329DD0}"/>
            </a:ext>
            <a:ext uri="{147F2762-F138-4A5C-976F-8EAC2B608ADB}">
              <a16:predDERef xmlns:a16="http://schemas.microsoft.com/office/drawing/2014/main" pred="{8F25ABEF-DBB9-A147-2351-0D3B1C825F90}"/>
            </a:ext>
          </a:extLst>
        </xdr:cNvPr>
        <xdr:cNvSpPr txBox="1"/>
      </xdr:nvSpPr>
      <xdr:spPr>
        <a:xfrm>
          <a:off x="2432793" y="360221"/>
          <a:ext cx="6928921" cy="92792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lang="en-US" sz="1600" b="1">
              <a:solidFill>
                <a:schemeClr val="accent3">
                  <a:lumMod val="25000"/>
                </a:schemeClr>
              </a:solidFill>
              <a:effectLst/>
              <a:latin typeface="+mn-lt"/>
              <a:ea typeface="+mn-ea"/>
              <a:cs typeface="+mn-cs"/>
            </a:rPr>
            <a:t>KELI</a:t>
          </a:r>
          <a:r>
            <a:rPr lang="lt-LT" sz="1600" b="1">
              <a:solidFill>
                <a:schemeClr val="accent3">
                  <a:lumMod val="25000"/>
                </a:schemeClr>
              </a:solidFill>
              <a:effectLst/>
              <a:latin typeface="+mn-lt"/>
              <a:ea typeface="+mn-ea"/>
              <a:cs typeface="+mn-cs"/>
            </a:rPr>
            <a:t>Ų</a:t>
          </a:r>
          <a:r>
            <a:rPr lang="lt-LT" sz="1600" b="1" baseline="0">
              <a:solidFill>
                <a:schemeClr val="accent3">
                  <a:lumMod val="25000"/>
                </a:schemeClr>
              </a:solidFill>
              <a:effectLst/>
              <a:latin typeface="+mn-lt"/>
              <a:ea typeface="+mn-ea"/>
              <a:cs typeface="+mn-cs"/>
            </a:rPr>
            <a:t> TRANSPORTO PRIEMONIŲ DEGALŲ RŪŠIES REGULIAVIMO POVEIKIO VERTINIMO SKAIČIUOKLĖ</a:t>
          </a:r>
        </a:p>
        <a:p>
          <a:pPr marL="0" marR="0" lvl="0" indent="0" defTabSz="914400" eaLnBrk="1" fontAlgn="auto" latinLnBrk="0" hangingPunct="1">
            <a:lnSpc>
              <a:spcPct val="100000"/>
            </a:lnSpc>
            <a:spcBef>
              <a:spcPts val="0"/>
            </a:spcBef>
            <a:spcAft>
              <a:spcPts val="0"/>
            </a:spcAft>
            <a:buClrTx/>
            <a:buSzTx/>
            <a:buFontTx/>
            <a:buNone/>
            <a:tabLst/>
            <a:defRPr/>
          </a:pPr>
          <a:r>
            <a:rPr kumimoji="0" lang="lt-LT" sz="1600" b="0" i="0" u="none" strike="noStrike" kern="0" cap="none" spc="0" normalizeH="0" baseline="0" noProof="0">
              <a:ln>
                <a:noFill/>
              </a:ln>
              <a:solidFill>
                <a:srgbClr val="F4FAF6">
                  <a:lumMod val="25000"/>
                </a:srgbClr>
              </a:solidFill>
              <a:effectLst/>
              <a:uLnTx/>
              <a:uFillTx/>
              <a:latin typeface="+mn-lt"/>
              <a:ea typeface="+mn-ea"/>
              <a:cs typeface="+mn-cs"/>
            </a:rPr>
            <a:t>KOMPLEKSINIS SKAIČIAVIMO ĮRANKIS</a:t>
          </a:r>
        </a:p>
        <a:p>
          <a:pPr marL="0" marR="0" lvl="0" indent="0" defTabSz="914400" eaLnBrk="1" fontAlgn="auto" latinLnBrk="0" hangingPunct="1">
            <a:lnSpc>
              <a:spcPct val="100000"/>
            </a:lnSpc>
            <a:spcBef>
              <a:spcPts val="0"/>
            </a:spcBef>
            <a:spcAft>
              <a:spcPts val="0"/>
            </a:spcAft>
            <a:buClrTx/>
            <a:buSzTx/>
            <a:buFontTx/>
            <a:buNone/>
            <a:tabLst/>
            <a:defRPr/>
          </a:pPr>
          <a:endParaRPr lang="lt-LT" sz="1600" b="1">
            <a:solidFill>
              <a:schemeClr val="accent3">
                <a:lumMod val="25000"/>
              </a:schemeClr>
            </a:solidFill>
            <a:effectLst/>
            <a:latin typeface="+mn-lt"/>
            <a:ea typeface="+mn-ea"/>
            <a:cs typeface="+mn-cs"/>
          </a:endParaRPr>
        </a:p>
        <a:p>
          <a:r>
            <a:rPr lang="lt-LT" sz="1600">
              <a:solidFill>
                <a:schemeClr val="accent3">
                  <a:lumMod val="25000"/>
                </a:schemeClr>
              </a:solidFill>
              <a:effectLst/>
              <a:latin typeface="+mn-lt"/>
              <a:ea typeface="+mn-ea"/>
              <a:cs typeface="+mn-cs"/>
            </a:rPr>
            <a:t> </a:t>
          </a:r>
        </a:p>
        <a:p>
          <a:endParaRPr lang="lt-LT" sz="1600" b="0" i="0">
            <a:ln>
              <a:noFill/>
            </a:ln>
            <a:solidFill>
              <a:schemeClr val="accent3">
                <a:lumMod val="25000"/>
              </a:schemeClr>
            </a:solidFill>
            <a:effectLst/>
          </a:endParaRPr>
        </a:p>
      </xdr:txBody>
    </xdr:sp>
    <xdr:clientData/>
  </xdr:twoCellAnchor>
  <xdr:twoCellAnchor>
    <xdr:from>
      <xdr:col>0</xdr:col>
      <xdr:colOff>171208</xdr:colOff>
      <xdr:row>0</xdr:row>
      <xdr:rowOff>148291</xdr:rowOff>
    </xdr:from>
    <xdr:to>
      <xdr:col>3</xdr:col>
      <xdr:colOff>141444</xdr:colOff>
      <xdr:row>60</xdr:row>
      <xdr:rowOff>92364</xdr:rowOff>
    </xdr:to>
    <xdr:sp macro="" textlink="">
      <xdr:nvSpPr>
        <xdr:cNvPr id="20" name="Stačiakampis: suapvalinti kampai 4">
          <a:extLst>
            <a:ext uri="{FF2B5EF4-FFF2-40B4-BE49-F238E27FC236}">
              <a16:creationId xmlns:a16="http://schemas.microsoft.com/office/drawing/2014/main" id="{1DAEA694-B2A1-4A5E-95B4-0BFED1212AA9}"/>
            </a:ext>
          </a:extLst>
        </xdr:cNvPr>
        <xdr:cNvSpPr/>
      </xdr:nvSpPr>
      <xdr:spPr>
        <a:xfrm>
          <a:off x="171208" y="148291"/>
          <a:ext cx="1909872" cy="11454891"/>
        </a:xfrm>
        <a:prstGeom prst="roundRect">
          <a:avLst>
            <a:gd name="adj" fmla="val 4546"/>
          </a:avLst>
        </a:prstGeom>
        <a:solidFill>
          <a:schemeClr val="accent5">
            <a:lumMod val="40000"/>
            <a:lumOff val="60000"/>
          </a:schemeClr>
        </a:solidFill>
        <a:ln>
          <a:solidFill>
            <a:schemeClr val="bg1">
              <a:lumMod val="20000"/>
              <a:lumOff val="80000"/>
            </a:schemeClr>
          </a:solidFill>
        </a:ln>
        <a:effectLst>
          <a:outerShdw blurRad="50800" dist="38100" dir="5400000" algn="t" rotWithShape="0">
            <a:prstClr val="black">
              <a:alpha val="40000"/>
            </a:prstClr>
          </a:outerShdw>
        </a:effectLst>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lt-LT" sz="1100"/>
        </a:p>
      </xdr:txBody>
    </xdr:sp>
    <xdr:clientData/>
  </xdr:twoCellAnchor>
  <xdr:twoCellAnchor>
    <xdr:from>
      <xdr:col>1</xdr:col>
      <xdr:colOff>172585</xdr:colOff>
      <xdr:row>27</xdr:row>
      <xdr:rowOff>1487</xdr:rowOff>
    </xdr:from>
    <xdr:to>
      <xdr:col>2</xdr:col>
      <xdr:colOff>80806</xdr:colOff>
      <xdr:row>29</xdr:row>
      <xdr:rowOff>50463</xdr:rowOff>
    </xdr:to>
    <xdr:pic>
      <xdr:nvPicPr>
        <xdr:cNvPr id="21" name="Grafinis elementas 10" descr="Envelope outline">
          <a:extLst>
            <a:ext uri="{FF2B5EF4-FFF2-40B4-BE49-F238E27FC236}">
              <a16:creationId xmlns:a16="http://schemas.microsoft.com/office/drawing/2014/main" id="{3D008E93-0DFA-402D-8953-E5F58FFFF279}"/>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 uri="{96DAC541-7B7A-43D3-8B79-37D633B846F1}">
              <asvg:svgBlip xmlns:asvg="http://schemas.microsoft.com/office/drawing/2016/SVG/main" r:embed="rId2"/>
            </a:ext>
          </a:extLst>
        </a:blip>
        <a:stretch>
          <a:fillRect/>
        </a:stretch>
      </xdr:blipFill>
      <xdr:spPr>
        <a:xfrm>
          <a:off x="784906" y="5539594"/>
          <a:ext cx="520543" cy="429976"/>
        </a:xfrm>
        <a:prstGeom prst="rect">
          <a:avLst/>
        </a:prstGeom>
      </xdr:spPr>
    </xdr:pic>
    <xdr:clientData/>
  </xdr:twoCellAnchor>
  <xdr:twoCellAnchor>
    <xdr:from>
      <xdr:col>0</xdr:col>
      <xdr:colOff>580713</xdr:colOff>
      <xdr:row>29</xdr:row>
      <xdr:rowOff>76110</xdr:rowOff>
    </xdr:from>
    <xdr:to>
      <xdr:col>3</xdr:col>
      <xdr:colOff>118573</xdr:colOff>
      <xdr:row>30</xdr:row>
      <xdr:rowOff>151494</xdr:rowOff>
    </xdr:to>
    <xdr:sp macro="" textlink="">
      <xdr:nvSpPr>
        <xdr:cNvPr id="22" name="TextBox 21">
          <a:extLst>
            <a:ext uri="{FF2B5EF4-FFF2-40B4-BE49-F238E27FC236}">
              <a16:creationId xmlns:a16="http://schemas.microsoft.com/office/drawing/2014/main" id="{9138D902-D1F3-408C-B1F8-455508BC7B32}"/>
            </a:ext>
          </a:extLst>
        </xdr:cNvPr>
        <xdr:cNvSpPr txBox="1"/>
      </xdr:nvSpPr>
      <xdr:spPr>
        <a:xfrm>
          <a:off x="580713" y="5995217"/>
          <a:ext cx="1374824" cy="26588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lt-LT" sz="1100">
              <a:solidFill>
                <a:srgbClr val="808080"/>
              </a:solidFill>
            </a:rPr>
            <a:t>aaa</a:t>
          </a:r>
          <a:r>
            <a:rPr lang="en-US" sz="1100">
              <a:solidFill>
                <a:srgbClr val="808080"/>
              </a:solidFill>
            </a:rPr>
            <a:t>@gamta.lt</a:t>
          </a:r>
          <a:endParaRPr lang="lt-LT" sz="1100">
            <a:solidFill>
              <a:srgbClr val="808080"/>
            </a:solidFill>
          </a:endParaRPr>
        </a:p>
      </xdr:txBody>
    </xdr:sp>
    <xdr:clientData/>
  </xdr:twoCellAnchor>
  <xdr:twoCellAnchor>
    <xdr:from>
      <xdr:col>1</xdr:col>
      <xdr:colOff>332817</xdr:colOff>
      <xdr:row>33</xdr:row>
      <xdr:rowOff>101454</xdr:rowOff>
    </xdr:from>
    <xdr:to>
      <xdr:col>2</xdr:col>
      <xdr:colOff>92117</xdr:colOff>
      <xdr:row>35</xdr:row>
      <xdr:rowOff>95917</xdr:rowOff>
    </xdr:to>
    <xdr:pic>
      <xdr:nvPicPr>
        <xdr:cNvPr id="23" name="Grafinis elementas 12" descr="Receiver outline">
          <a:extLst>
            <a:ext uri="{FF2B5EF4-FFF2-40B4-BE49-F238E27FC236}">
              <a16:creationId xmlns:a16="http://schemas.microsoft.com/office/drawing/2014/main" id="{20E39014-A821-4B8E-B7E2-8095149E525A}"/>
            </a:ext>
          </a:extLst>
        </xdr:cNvPr>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 uri="{96DAC541-7B7A-43D3-8B79-37D633B846F1}">
              <asvg:svgBlip xmlns:asvg="http://schemas.microsoft.com/office/drawing/2016/SVG/main" r:embed="rId4"/>
            </a:ext>
          </a:extLst>
        </a:blip>
        <a:stretch>
          <a:fillRect/>
        </a:stretch>
      </xdr:blipFill>
      <xdr:spPr>
        <a:xfrm>
          <a:off x="942417" y="6730854"/>
          <a:ext cx="368900" cy="375463"/>
        </a:xfrm>
        <a:prstGeom prst="rect">
          <a:avLst/>
        </a:prstGeom>
      </xdr:spPr>
    </xdr:pic>
    <xdr:clientData/>
  </xdr:twoCellAnchor>
  <xdr:twoCellAnchor>
    <xdr:from>
      <xdr:col>0</xdr:col>
      <xdr:colOff>561199</xdr:colOff>
      <xdr:row>36</xdr:row>
      <xdr:rowOff>28986</xdr:rowOff>
    </xdr:from>
    <xdr:to>
      <xdr:col>3</xdr:col>
      <xdr:colOff>92810</xdr:colOff>
      <xdr:row>37</xdr:row>
      <xdr:rowOff>93840</xdr:rowOff>
    </xdr:to>
    <xdr:sp macro="" textlink="">
      <xdr:nvSpPr>
        <xdr:cNvPr id="25" name="TextBox 24">
          <a:extLst>
            <a:ext uri="{FF2B5EF4-FFF2-40B4-BE49-F238E27FC236}">
              <a16:creationId xmlns:a16="http://schemas.microsoft.com/office/drawing/2014/main" id="{E26CE236-A8F2-40BE-9D8F-C92DCC80A250}"/>
            </a:ext>
          </a:extLst>
        </xdr:cNvPr>
        <xdr:cNvSpPr txBox="1"/>
      </xdr:nvSpPr>
      <xdr:spPr>
        <a:xfrm>
          <a:off x="561199" y="7229886"/>
          <a:ext cx="1360411" cy="25535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lt-LT">
              <a:solidFill>
                <a:srgbClr val="808080"/>
              </a:solidFill>
            </a:rPr>
            <a:t>+370 682 92 653</a:t>
          </a:r>
          <a:endParaRPr lang="lt-LT" sz="1100">
            <a:solidFill>
              <a:srgbClr val="808080"/>
            </a:solidFill>
          </a:endParaRPr>
        </a:p>
      </xdr:txBody>
    </xdr:sp>
    <xdr:clientData/>
  </xdr:twoCellAnchor>
  <xdr:twoCellAnchor>
    <xdr:from>
      <xdr:col>0</xdr:col>
      <xdr:colOff>326572</xdr:colOff>
      <xdr:row>17</xdr:row>
      <xdr:rowOff>68035</xdr:rowOff>
    </xdr:from>
    <xdr:to>
      <xdr:col>2</xdr:col>
      <xdr:colOff>583745</xdr:colOff>
      <xdr:row>20</xdr:row>
      <xdr:rowOff>217713</xdr:rowOff>
    </xdr:to>
    <xdr:pic>
      <xdr:nvPicPr>
        <xdr:cNvPr id="16" name="Picture 31">
          <a:hlinkClick xmlns:r="http://schemas.openxmlformats.org/officeDocument/2006/relationships" r:id="rId5"/>
          <a:extLst>
            <a:ext uri="{FF2B5EF4-FFF2-40B4-BE49-F238E27FC236}">
              <a16:creationId xmlns:a16="http://schemas.microsoft.com/office/drawing/2014/main" id="{BE71B2A1-71F1-4E6D-A20B-F1246A552F9B}"/>
            </a:ext>
          </a:extLst>
        </xdr:cNvPr>
        <xdr:cNvPicPr>
          <a:picLocks noChangeAspect="1"/>
        </xdr:cNvPicPr>
      </xdr:nvPicPr>
      <xdr:blipFill>
        <a:blip xmlns:r="http://schemas.openxmlformats.org/officeDocument/2006/relationships" r:embed="rId6">
          <a:duotone>
            <a:schemeClr val="accent4">
              <a:shade val="45000"/>
              <a:satMod val="135000"/>
            </a:schemeClr>
            <a:prstClr val="white"/>
          </a:duotone>
        </a:blip>
        <a:stretch>
          <a:fillRect/>
        </a:stretch>
      </xdr:blipFill>
      <xdr:spPr>
        <a:xfrm>
          <a:off x="326572" y="3524249"/>
          <a:ext cx="1481816" cy="734785"/>
        </a:xfrm>
        <a:prstGeom prst="rect">
          <a:avLst/>
        </a:prstGeom>
      </xdr:spPr>
    </xdr:pic>
    <xdr:clientData/>
  </xdr:twoCellAnchor>
  <xdr:twoCellAnchor>
    <xdr:from>
      <xdr:col>0</xdr:col>
      <xdr:colOff>340178</xdr:colOff>
      <xdr:row>21</xdr:row>
      <xdr:rowOff>176893</xdr:rowOff>
    </xdr:from>
    <xdr:to>
      <xdr:col>2</xdr:col>
      <xdr:colOff>593270</xdr:colOff>
      <xdr:row>25</xdr:row>
      <xdr:rowOff>121963</xdr:rowOff>
    </xdr:to>
    <xdr:pic>
      <xdr:nvPicPr>
        <xdr:cNvPr id="15" name="Picture 72">
          <a:hlinkClick xmlns:r="http://schemas.openxmlformats.org/officeDocument/2006/relationships" r:id="rId7"/>
          <a:extLst>
            <a:ext uri="{FF2B5EF4-FFF2-40B4-BE49-F238E27FC236}">
              <a16:creationId xmlns:a16="http://schemas.microsoft.com/office/drawing/2014/main" id="{BF3394EF-F167-4876-B297-056090673DEF}"/>
            </a:ext>
          </a:extLst>
        </xdr:cNvPr>
        <xdr:cNvPicPr>
          <a:picLocks noChangeAspect="1"/>
        </xdr:cNvPicPr>
      </xdr:nvPicPr>
      <xdr:blipFill>
        <a:blip xmlns:r="http://schemas.openxmlformats.org/officeDocument/2006/relationships" r:embed="rId8">
          <a:duotone>
            <a:schemeClr val="accent4">
              <a:shade val="45000"/>
              <a:satMod val="135000"/>
            </a:schemeClr>
            <a:prstClr val="white"/>
          </a:duotone>
        </a:blip>
        <a:stretch>
          <a:fillRect/>
        </a:stretch>
      </xdr:blipFill>
      <xdr:spPr>
        <a:xfrm>
          <a:off x="340178" y="4463143"/>
          <a:ext cx="1477735" cy="761499"/>
        </a:xfrm>
        <a:prstGeom prst="rect">
          <a:avLst/>
        </a:prstGeom>
      </xdr:spPr>
    </xdr:pic>
    <xdr:clientData/>
  </xdr:twoCellAnchor>
  <xdr:twoCellAnchor editAs="oneCell">
    <xdr:from>
      <xdr:col>0</xdr:col>
      <xdr:colOff>340179</xdr:colOff>
      <xdr:row>12</xdr:row>
      <xdr:rowOff>136072</xdr:rowOff>
    </xdr:from>
    <xdr:to>
      <xdr:col>2</xdr:col>
      <xdr:colOff>598714</xdr:colOff>
      <xdr:row>16</xdr:row>
      <xdr:rowOff>3601</xdr:rowOff>
    </xdr:to>
    <xdr:pic>
      <xdr:nvPicPr>
        <xdr:cNvPr id="30" name="Picture 29">
          <a:hlinkClick xmlns:r="http://schemas.openxmlformats.org/officeDocument/2006/relationships" r:id="rId9"/>
          <a:extLst>
            <a:ext uri="{FF2B5EF4-FFF2-40B4-BE49-F238E27FC236}">
              <a16:creationId xmlns:a16="http://schemas.microsoft.com/office/drawing/2014/main" id="{D1D25B91-E538-4F69-97EC-92DF2997DAE1}"/>
            </a:ext>
          </a:extLst>
        </xdr:cNvPr>
        <xdr:cNvPicPr>
          <a:picLocks noChangeAspect="1"/>
        </xdr:cNvPicPr>
      </xdr:nvPicPr>
      <xdr:blipFill>
        <a:blip xmlns:r="http://schemas.openxmlformats.org/officeDocument/2006/relationships" r:embed="rId10">
          <a:duotone>
            <a:schemeClr val="accent4">
              <a:shade val="45000"/>
              <a:satMod val="135000"/>
            </a:schemeClr>
            <a:prstClr val="white"/>
          </a:duotone>
          <a:extLst>
            <a:ext uri="{BEBA8EAE-BF5A-486C-A8C5-ECC9F3942E4B}">
              <a14:imgProps xmlns:a14="http://schemas.microsoft.com/office/drawing/2010/main">
                <a14:imgLayer r:embed="rId11">
                  <a14:imgEffect>
                    <a14:colorTemperature colorTemp="4700"/>
                  </a14:imgEffect>
                  <a14:imgEffect>
                    <a14:saturation sat="0"/>
                  </a14:imgEffect>
                </a14:imgLayer>
              </a14:imgProps>
            </a:ext>
          </a:extLst>
        </a:blip>
        <a:stretch>
          <a:fillRect/>
        </a:stretch>
      </xdr:blipFill>
      <xdr:spPr>
        <a:xfrm>
          <a:off x="340179" y="2530929"/>
          <a:ext cx="1483178" cy="731583"/>
        </a:xfrm>
        <a:prstGeom prst="rect">
          <a:avLst/>
        </a:prstGeom>
      </xdr:spPr>
    </xdr:pic>
    <xdr:clientData/>
  </xdr:twoCellAnchor>
  <xdr:twoCellAnchor>
    <xdr:from>
      <xdr:col>0</xdr:col>
      <xdr:colOff>353785</xdr:colOff>
      <xdr:row>2</xdr:row>
      <xdr:rowOff>27215</xdr:rowOff>
    </xdr:from>
    <xdr:to>
      <xdr:col>2</xdr:col>
      <xdr:colOff>518003</xdr:colOff>
      <xdr:row>4</xdr:row>
      <xdr:rowOff>190477</xdr:rowOff>
    </xdr:to>
    <xdr:pic>
      <xdr:nvPicPr>
        <xdr:cNvPr id="34" name="Paveikslėlis 2">
          <a:extLst>
            <a:ext uri="{FF2B5EF4-FFF2-40B4-BE49-F238E27FC236}">
              <a16:creationId xmlns:a16="http://schemas.microsoft.com/office/drawing/2014/main" id="{9FE5CB6D-0005-442B-9C34-8F41991F8885}"/>
            </a:ext>
            <a:ext uri="{147F2762-F138-4A5C-976F-8EAC2B608ADB}">
              <a16:predDERef xmlns:a16="http://schemas.microsoft.com/office/drawing/2014/main" pred="{46023FA3-9223-450D-88ED-40320E00CA58}"/>
            </a:ext>
          </a:extLst>
        </xdr:cNvPr>
        <xdr:cNvPicPr>
          <a:picLocks noChangeAspect="1"/>
        </xdr:cNvPicPr>
      </xdr:nvPicPr>
      <xdr:blipFill>
        <a:blip xmlns:r="http://schemas.openxmlformats.org/officeDocument/2006/relationships" r:embed="rId12" cstate="print">
          <a:extLst>
            <a:ext uri="{28A0092B-C50C-407E-A947-70E740481C1C}">
              <a14:useLocalDpi xmlns:a14="http://schemas.microsoft.com/office/drawing/2010/main" val="0"/>
            </a:ext>
          </a:extLst>
        </a:blip>
        <a:stretch>
          <a:fillRect/>
        </a:stretch>
      </xdr:blipFill>
      <xdr:spPr>
        <a:xfrm>
          <a:off x="353785" y="408215"/>
          <a:ext cx="1388861" cy="598691"/>
        </a:xfrm>
        <a:prstGeom prst="rect">
          <a:avLst/>
        </a:prstGeom>
      </xdr:spPr>
    </xdr:pic>
    <xdr:clientData/>
  </xdr:twoCellAnchor>
  <xdr:twoCellAnchor editAs="oneCell">
    <xdr:from>
      <xdr:col>0</xdr:col>
      <xdr:colOff>326571</xdr:colOff>
      <xdr:row>7</xdr:row>
      <xdr:rowOff>149678</xdr:rowOff>
    </xdr:from>
    <xdr:to>
      <xdr:col>2</xdr:col>
      <xdr:colOff>595577</xdr:colOff>
      <xdr:row>11</xdr:row>
      <xdr:rowOff>89220</xdr:rowOff>
    </xdr:to>
    <xdr:pic>
      <xdr:nvPicPr>
        <xdr:cNvPr id="38" name="Picture 37">
          <a:extLst>
            <a:ext uri="{FF2B5EF4-FFF2-40B4-BE49-F238E27FC236}">
              <a16:creationId xmlns:a16="http://schemas.microsoft.com/office/drawing/2014/main" id="{F1C62E15-DCEA-462E-9E98-CF7A62E48CEC}"/>
            </a:ext>
          </a:extLst>
        </xdr:cNvPr>
        <xdr:cNvPicPr>
          <a:picLocks noChangeAspect="1"/>
        </xdr:cNvPicPr>
      </xdr:nvPicPr>
      <xdr:blipFill>
        <a:blip xmlns:r="http://schemas.openxmlformats.org/officeDocument/2006/relationships" r:embed="rId13">
          <a:extLst>
            <a:ext uri="{BEBA8EAE-BF5A-486C-A8C5-ECC9F3942E4B}">
              <a14:imgProps xmlns:a14="http://schemas.microsoft.com/office/drawing/2010/main">
                <a14:imgLayer r:embed="rId14">
                  <a14:imgEffect>
                    <a14:colorTemperature colorTemp="5900"/>
                  </a14:imgEffect>
                  <a14:imgEffect>
                    <a14:saturation sat="66000"/>
                  </a14:imgEffect>
                </a14:imgLayer>
              </a14:imgProps>
            </a:ext>
          </a:extLst>
        </a:blip>
        <a:stretch>
          <a:fillRect/>
        </a:stretch>
      </xdr:blipFill>
      <xdr:spPr>
        <a:xfrm>
          <a:off x="326571" y="1537607"/>
          <a:ext cx="1493649" cy="755970"/>
        </a:xfrm>
        <a:prstGeom prst="rect">
          <a:avLst/>
        </a:prstGeom>
      </xdr:spPr>
    </xdr:pic>
    <xdr:clientData/>
  </xdr:twoCellAnchor>
  <xdr:twoCellAnchor>
    <xdr:from>
      <xdr:col>0</xdr:col>
      <xdr:colOff>362858</xdr:colOff>
      <xdr:row>40</xdr:row>
      <xdr:rowOff>0</xdr:rowOff>
    </xdr:from>
    <xdr:to>
      <xdr:col>3</xdr:col>
      <xdr:colOff>148099</xdr:colOff>
      <xdr:row>48</xdr:row>
      <xdr:rowOff>170705</xdr:rowOff>
    </xdr:to>
    <xdr:grpSp>
      <xdr:nvGrpSpPr>
        <xdr:cNvPr id="17" name="Grupė 16">
          <a:extLst>
            <a:ext uri="{FF2B5EF4-FFF2-40B4-BE49-F238E27FC236}">
              <a16:creationId xmlns:a16="http://schemas.microsoft.com/office/drawing/2014/main" id="{74271E07-A744-433B-B834-A57F3CEB3681}"/>
            </a:ext>
          </a:extLst>
        </xdr:cNvPr>
        <xdr:cNvGrpSpPr/>
      </xdr:nvGrpSpPr>
      <xdr:grpSpPr>
        <a:xfrm>
          <a:off x="362858" y="8069036"/>
          <a:ext cx="1622205" cy="1694705"/>
          <a:chOff x="396875" y="8016875"/>
          <a:chExt cx="1717455" cy="1622134"/>
        </a:xfrm>
      </xdr:grpSpPr>
      <xdr:sp macro="" textlink="">
        <xdr:nvSpPr>
          <xdr:cNvPr id="27" name="TextBox 26">
            <a:hlinkClick xmlns:r="http://schemas.openxmlformats.org/officeDocument/2006/relationships" r:id="rId15"/>
            <a:extLst>
              <a:ext uri="{FF2B5EF4-FFF2-40B4-BE49-F238E27FC236}">
                <a16:creationId xmlns:a16="http://schemas.microsoft.com/office/drawing/2014/main" id="{F2EFE5CF-D78B-8FBD-B3A0-2572AF01C230}"/>
              </a:ext>
            </a:extLst>
          </xdr:cNvPr>
          <xdr:cNvSpPr txBox="1"/>
        </xdr:nvSpPr>
        <xdr:spPr>
          <a:xfrm>
            <a:off x="396875" y="8966826"/>
            <a:ext cx="1717455" cy="67218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lt-LT" sz="1100">
                <a:solidFill>
                  <a:srgbClr val="808080"/>
                </a:solidFill>
              </a:rPr>
              <a:t>https://aaa.lrv.lt/lt/veiklos-sritys/teisekuros-poveikio-vertinimas/</a:t>
            </a:r>
          </a:p>
        </xdr:txBody>
      </xdr:sp>
      <xdr:pic>
        <xdr:nvPicPr>
          <xdr:cNvPr id="28" name="Paveikslėlis 27">
            <a:extLst>
              <a:ext uri="{FF2B5EF4-FFF2-40B4-BE49-F238E27FC236}">
                <a16:creationId xmlns:a16="http://schemas.microsoft.com/office/drawing/2014/main" id="{0D344753-5806-F695-C54E-5588802F1E00}"/>
              </a:ext>
            </a:extLst>
          </xdr:cNvPr>
          <xdr:cNvPicPr>
            <a:picLocks noChangeAspect="1"/>
          </xdr:cNvPicPr>
        </xdr:nvPicPr>
        <xdr:blipFill rotWithShape="1">
          <a:blip xmlns:r="http://schemas.openxmlformats.org/officeDocument/2006/relationships" r:embed="rId16" cstate="print">
            <a:extLst>
              <a:ext uri="{28A0092B-C50C-407E-A947-70E740481C1C}">
                <a14:useLocalDpi xmlns:a14="http://schemas.microsoft.com/office/drawing/2010/main" val="0"/>
              </a:ext>
            </a:extLst>
          </a:blip>
          <a:srcRect r="16071" b="683"/>
          <a:stretch/>
        </xdr:blipFill>
        <xdr:spPr>
          <a:xfrm>
            <a:off x="718995" y="8016875"/>
            <a:ext cx="809624" cy="843080"/>
          </a:xfrm>
          <a:prstGeom prst="rect">
            <a:avLst/>
          </a:prstGeom>
        </xdr:spPr>
      </xdr:pic>
    </xdr:grpSp>
    <xdr:clientData/>
  </xdr:twoCellAnchor>
  <xdr:twoCellAnchor>
    <xdr:from>
      <xdr:col>3</xdr:col>
      <xdr:colOff>603374</xdr:colOff>
      <xdr:row>9</xdr:row>
      <xdr:rowOff>0</xdr:rowOff>
    </xdr:from>
    <xdr:to>
      <xdr:col>15</xdr:col>
      <xdr:colOff>1281547</xdr:colOff>
      <xdr:row>21</xdr:row>
      <xdr:rowOff>97725</xdr:rowOff>
    </xdr:to>
    <xdr:sp macro="" textlink="">
      <xdr:nvSpPr>
        <xdr:cNvPr id="29" name="TextBox 8">
          <a:extLst>
            <a:ext uri="{FF2B5EF4-FFF2-40B4-BE49-F238E27FC236}">
              <a16:creationId xmlns:a16="http://schemas.microsoft.com/office/drawing/2014/main" id="{8EB16D4E-7542-4AB4-8883-C8F07CED61E5}"/>
            </a:ext>
          </a:extLst>
        </xdr:cNvPr>
        <xdr:cNvSpPr txBox="1"/>
      </xdr:nvSpPr>
      <xdr:spPr>
        <a:xfrm>
          <a:off x="2543010" y="1801091"/>
          <a:ext cx="8021082" cy="2464543"/>
        </a:xfrm>
        <a:prstGeom prst="rect">
          <a:avLst/>
        </a:prstGeom>
        <a:solidFill>
          <a:srgbClr val="F4FAF6"/>
        </a:solidFill>
        <a:ln w="9525" cmpd="sng">
          <a:noFill/>
        </a:ln>
        <a:effectLst/>
      </xdr:spPr>
      <xdr:txBody>
        <a:bodyPr vertOverflow="clip" horzOverflow="clip" wrap="square" rtlCol="0" anchor="t"/>
        <a:lstStyle/>
        <a:p>
          <a:pPr marL="0" marR="0" lvl="0" indent="0" defTabSz="914400" eaLnBrk="1" fontAlgn="auto" latinLnBrk="0" hangingPunct="1">
            <a:lnSpc>
              <a:spcPct val="100000"/>
            </a:lnSpc>
            <a:spcBef>
              <a:spcPts val="0"/>
            </a:spcBef>
            <a:spcAft>
              <a:spcPts val="800"/>
            </a:spcAft>
            <a:buClrTx/>
            <a:buSzTx/>
            <a:buFontTx/>
            <a:buNone/>
            <a:tabLst/>
            <a:defRPr/>
          </a:pPr>
          <a:r>
            <a:rPr kumimoji="0" lang="lt-LT" sz="1600" b="1" i="0" u="none" strike="noStrike" kern="0" cap="none" spc="0" normalizeH="0" baseline="0" noProof="0">
              <a:ln>
                <a:noFill/>
              </a:ln>
              <a:solidFill>
                <a:srgbClr val="F4FAF6">
                  <a:lumMod val="25000"/>
                </a:srgbClr>
              </a:solidFill>
              <a:effectLst/>
              <a:uLnTx/>
              <a:uFillTx/>
              <a:latin typeface="Calibri" panose="020F0502020204030204"/>
              <a:ea typeface="+mn-ea"/>
              <a:cs typeface="+mn-cs"/>
            </a:rPr>
            <a:t>ĮVADAS </a:t>
          </a:r>
          <a:endParaRPr kumimoji="0" lang="lt-LT" sz="1100" b="1" i="0" u="none" strike="noStrike" kern="0" cap="none" spc="0" normalizeH="0" baseline="0" noProof="0">
            <a:ln>
              <a:noFill/>
            </a:ln>
            <a:solidFill>
              <a:srgbClr val="808080"/>
            </a:solidFill>
            <a:effectLst/>
            <a:uLnTx/>
            <a:uFillTx/>
            <a:latin typeface="Calibri" panose="020F0502020204030204"/>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0" lang="lt-LT" sz="1100" b="0" i="0" u="none" strike="noStrike" kern="0" cap="none" spc="0" normalizeH="0" baseline="0" noProof="0">
            <a:ln>
              <a:noFill/>
            </a:ln>
            <a:solidFill>
              <a:srgbClr val="808080"/>
            </a:solidFill>
            <a:effectLst/>
            <a:uLnTx/>
            <a:uFillTx/>
            <a:latin typeface="Calibri" panose="020F0502020204030204"/>
            <a:ea typeface="+mn-ea"/>
            <a:cs typeface="+mn-cs"/>
          </a:endParaRPr>
        </a:p>
        <a:p>
          <a:pPr marL="0" marR="0" lvl="0" indent="0" defTabSz="914400" eaLnBrk="1" fontAlgn="auto" latinLnBrk="0" hangingPunct="1">
            <a:lnSpc>
              <a:spcPct val="150000"/>
            </a:lnSpc>
            <a:spcBef>
              <a:spcPts val="0"/>
            </a:spcBef>
            <a:spcAft>
              <a:spcPts val="0"/>
            </a:spcAft>
            <a:buClrTx/>
            <a:buSzTx/>
            <a:buFontTx/>
            <a:buNone/>
            <a:tabLst/>
            <a:defRPr/>
          </a:pPr>
          <a:r>
            <a:rPr kumimoji="0" lang="lt-LT" sz="1400" b="0" i="0" u="none" strike="noStrike" kern="0" cap="none" spc="0" normalizeH="0" baseline="0" noProof="0">
              <a:ln>
                <a:noFill/>
              </a:ln>
              <a:solidFill>
                <a:srgbClr val="F4FAF6">
                  <a:lumMod val="25000"/>
                </a:srgbClr>
              </a:solidFill>
              <a:effectLst/>
              <a:uLnTx/>
              <a:uFillTx/>
              <a:latin typeface="Calibri" panose="020F0502020204030204"/>
              <a:ea typeface="+mn-ea"/>
              <a:cs typeface="+mn-cs"/>
            </a:rPr>
            <a:t>Skaičiuoklė - tai inovatyvus Microsoft Excel pagrindu sukurtas įrankis</a:t>
          </a:r>
          <a:r>
            <a:rPr kumimoji="0" lang="en-US" sz="1400" b="0" i="0" u="none" strike="noStrike" kern="0" cap="none" spc="0" normalizeH="0" baseline="0" noProof="0">
              <a:ln>
                <a:noFill/>
              </a:ln>
              <a:solidFill>
                <a:srgbClr val="F4FAF6">
                  <a:lumMod val="25000"/>
                </a:srgbClr>
              </a:solidFill>
              <a:effectLst/>
              <a:uLnTx/>
              <a:uFillTx/>
              <a:latin typeface="Calibri" panose="020F0502020204030204"/>
              <a:ea typeface="+mn-ea"/>
              <a:cs typeface="+mn-cs"/>
            </a:rPr>
            <a:t>,</a:t>
          </a:r>
          <a:r>
            <a:rPr kumimoji="0" lang="lt-LT" sz="1400" b="0" i="0" u="none" strike="noStrike" kern="0" cap="none" spc="0" normalizeH="0" baseline="0" noProof="0">
              <a:ln>
                <a:noFill/>
              </a:ln>
              <a:solidFill>
                <a:srgbClr val="F4FAF6">
                  <a:lumMod val="25000"/>
                </a:srgbClr>
              </a:solidFill>
              <a:effectLst/>
              <a:uLnTx/>
              <a:uFillTx/>
              <a:latin typeface="Calibri" panose="020F0502020204030204"/>
              <a:ea typeface="+mn-ea"/>
              <a:cs typeface="+mn-cs"/>
            </a:rPr>
            <a:t> padedantis nustatyti teisėkūros iniciatyvų poveikį aplinkos oro teršalų kiekio pokyčiams.</a:t>
          </a:r>
          <a:endParaRPr kumimoji="0" lang="lt-LT" sz="1100" b="0" i="0" u="none" strike="noStrike" kern="0" cap="none" spc="0" normalizeH="0" baseline="0" noProof="0">
            <a:ln>
              <a:noFill/>
            </a:ln>
            <a:solidFill>
              <a:srgbClr val="808080"/>
            </a:solidFill>
            <a:effectLst/>
            <a:uLnTx/>
            <a:uFillTx/>
            <a:latin typeface="Calibri" panose="020F0502020204030204"/>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0" lang="lt-LT" sz="1100" b="0" i="0" u="none" strike="noStrike" kern="0" cap="none" spc="0" normalizeH="0" baseline="0" noProof="0">
            <a:ln>
              <a:noFill/>
            </a:ln>
            <a:solidFill>
              <a:srgbClr val="808080"/>
            </a:solidFill>
            <a:effectLst/>
            <a:uLnTx/>
            <a:uFillTx/>
            <a:latin typeface="Calibri" panose="020F0502020204030204"/>
            <a:ea typeface="+mn-ea"/>
            <a:cs typeface="+mn-cs"/>
          </a:endParaRPr>
        </a:p>
      </xdr:txBody>
    </xdr:sp>
    <xdr:clientData/>
  </xdr:twoCellAnchor>
  <xdr:twoCellAnchor>
    <xdr:from>
      <xdr:col>3</xdr:col>
      <xdr:colOff>639125</xdr:colOff>
      <xdr:row>18</xdr:row>
      <xdr:rowOff>35876</xdr:rowOff>
    </xdr:from>
    <xdr:to>
      <xdr:col>16</xdr:col>
      <xdr:colOff>20123</xdr:colOff>
      <xdr:row>32</xdr:row>
      <xdr:rowOff>19629</xdr:rowOff>
    </xdr:to>
    <xdr:sp macro="" textlink="">
      <xdr:nvSpPr>
        <xdr:cNvPr id="31" name="TextBox 4">
          <a:extLst>
            <a:ext uri="{FF2B5EF4-FFF2-40B4-BE49-F238E27FC236}">
              <a16:creationId xmlns:a16="http://schemas.microsoft.com/office/drawing/2014/main" id="{352113E5-FC23-4B91-951D-1ED0FD07E16A}"/>
            </a:ext>
          </a:extLst>
        </xdr:cNvPr>
        <xdr:cNvSpPr txBox="1"/>
      </xdr:nvSpPr>
      <xdr:spPr>
        <a:xfrm>
          <a:off x="2578761" y="3603421"/>
          <a:ext cx="8155544" cy="2708481"/>
        </a:xfrm>
        <a:prstGeom prst="rect">
          <a:avLst/>
        </a:prstGeom>
        <a:noFill/>
        <a:ln w="9525" cmpd="sng">
          <a:noFill/>
        </a:ln>
        <a:effectLst/>
      </xdr:spPr>
      <xdr:txBody>
        <a:bodyPr vertOverflow="clip" horzOverflow="clip" wrap="square" rtlCol="0" anchor="t"/>
        <a:lstStyle/>
        <a:p>
          <a:pPr marL="0" marR="0" lvl="0" indent="0" defTabSz="914400" eaLnBrk="1" fontAlgn="auto" latinLnBrk="0" hangingPunct="1">
            <a:lnSpc>
              <a:spcPct val="100000"/>
            </a:lnSpc>
            <a:spcBef>
              <a:spcPts val="0"/>
            </a:spcBef>
            <a:spcAft>
              <a:spcPts val="800"/>
            </a:spcAft>
            <a:buClrTx/>
            <a:buSzTx/>
            <a:buFontTx/>
            <a:buNone/>
            <a:tabLst/>
            <a:defRPr/>
          </a:pPr>
          <a:r>
            <a:rPr kumimoji="0" lang="en-US" sz="1600" b="1" i="0" u="none" strike="noStrike" kern="0" cap="none" spc="0" normalizeH="0" baseline="0" noProof="0">
              <a:ln>
                <a:noFill/>
              </a:ln>
              <a:solidFill>
                <a:srgbClr val="F4FAF6">
                  <a:lumMod val="25000"/>
                </a:srgbClr>
              </a:solidFill>
              <a:effectLst/>
              <a:uLnTx/>
              <a:uFillTx/>
              <a:latin typeface="Calibri" panose="020F0502020204030204"/>
              <a:ea typeface="+mn-ea"/>
              <a:cs typeface="+mn-cs"/>
            </a:rPr>
            <a:t>NAVIGACIJA</a:t>
          </a:r>
          <a:endParaRPr kumimoji="0" lang="lt-LT" sz="1600" b="0" i="0" u="none" strike="noStrike" kern="0" cap="none" spc="0" normalizeH="0" baseline="0" noProof="0">
            <a:ln>
              <a:noFill/>
            </a:ln>
            <a:solidFill>
              <a:srgbClr val="F4FAF6">
                <a:lumMod val="25000"/>
              </a:srgbClr>
            </a:solidFill>
            <a:effectLst/>
            <a:uLnTx/>
            <a:uFillTx/>
            <a:latin typeface="Calibri" panose="020F0502020204030204"/>
            <a:ea typeface="+mn-ea"/>
            <a:cs typeface="+mn-cs"/>
          </a:endParaRPr>
        </a:p>
        <a:p>
          <a:pPr marL="0" marR="0" lvl="0" indent="0" defTabSz="914400" eaLnBrk="1" fontAlgn="auto" latinLnBrk="0" hangingPunct="1">
            <a:lnSpc>
              <a:spcPct val="150000"/>
            </a:lnSpc>
            <a:spcBef>
              <a:spcPts val="0"/>
            </a:spcBef>
            <a:spcAft>
              <a:spcPts val="0"/>
            </a:spcAft>
            <a:buClrTx/>
            <a:buSzTx/>
            <a:buFontTx/>
            <a:buNone/>
            <a:tabLst/>
            <a:defRPr/>
          </a:pPr>
          <a:r>
            <a:rPr kumimoji="0" lang="lt-LT" sz="1400" b="1" i="0" u="none" strike="noStrike" kern="0" cap="none" spc="0" normalizeH="0" baseline="0" noProof="0">
              <a:ln>
                <a:noFill/>
              </a:ln>
              <a:solidFill>
                <a:srgbClr val="F4FAF6">
                  <a:lumMod val="25000"/>
                </a:srgbClr>
              </a:solidFill>
              <a:effectLst/>
              <a:uLnTx/>
              <a:uFillTx/>
              <a:latin typeface="Calibri" panose="020F0502020204030204"/>
              <a:ea typeface="+mn-ea"/>
              <a:cs typeface="+mn-cs"/>
            </a:rPr>
            <a:t>Pradžia</a:t>
          </a:r>
          <a:r>
            <a:rPr kumimoji="0" lang="lt-LT" sz="1400" b="0" i="0" u="none" strike="noStrike" kern="0" cap="none" spc="0" normalizeH="0" baseline="0" noProof="0">
              <a:ln>
                <a:noFill/>
              </a:ln>
              <a:solidFill>
                <a:srgbClr val="F4FAF6">
                  <a:lumMod val="25000"/>
                </a:srgbClr>
              </a:solidFill>
              <a:effectLst/>
              <a:uLnTx/>
              <a:uFillTx/>
              <a:latin typeface="Calibri" panose="020F0502020204030204"/>
              <a:ea typeface="+mn-ea"/>
              <a:cs typeface="+mn-cs"/>
            </a:rPr>
            <a:t>: įvadinis skyrius, supažindinantis su skaičiuoklės tikslais, struktūra, terminologija, kontaktinė informacija. </a:t>
          </a:r>
        </a:p>
        <a:p>
          <a:pPr marL="0" marR="0" lvl="0" indent="0" defTabSz="914400" eaLnBrk="1" fontAlgn="auto" latinLnBrk="0" hangingPunct="1">
            <a:lnSpc>
              <a:spcPct val="150000"/>
            </a:lnSpc>
            <a:spcBef>
              <a:spcPts val="0"/>
            </a:spcBef>
            <a:spcAft>
              <a:spcPts val="0"/>
            </a:spcAft>
            <a:buClrTx/>
            <a:buSzTx/>
            <a:buFontTx/>
            <a:buNone/>
            <a:tabLst/>
            <a:defRPr/>
          </a:pPr>
          <a:r>
            <a:rPr kumimoji="0" lang="lt-LT" sz="1400" b="1" i="0" u="none" strike="noStrike" kern="0" cap="none" spc="0" normalizeH="0" baseline="0" noProof="0">
              <a:ln>
                <a:noFill/>
              </a:ln>
              <a:solidFill>
                <a:srgbClr val="F4FAF6">
                  <a:lumMod val="25000"/>
                </a:srgbClr>
              </a:solidFill>
              <a:effectLst/>
              <a:uLnTx/>
              <a:uFillTx/>
              <a:latin typeface="Calibri" panose="020F0502020204030204"/>
              <a:ea typeface="+mn-ea"/>
              <a:cs typeface="+mn-cs"/>
            </a:rPr>
            <a:t>Naudojimo instrukcija</a:t>
          </a:r>
          <a:r>
            <a:rPr kumimoji="0" lang="lt-LT" sz="1400" b="0" i="0" u="none" strike="noStrike" kern="0" cap="none" spc="0" normalizeH="0" baseline="0" noProof="0">
              <a:ln>
                <a:noFill/>
              </a:ln>
              <a:solidFill>
                <a:srgbClr val="F4FAF6">
                  <a:lumMod val="25000"/>
                </a:srgbClr>
              </a:solidFill>
              <a:effectLst/>
              <a:uLnTx/>
              <a:uFillTx/>
              <a:latin typeface="Calibri" panose="020F0502020204030204"/>
              <a:ea typeface="+mn-ea"/>
              <a:cs typeface="+mn-cs"/>
            </a:rPr>
            <a:t>: pateikiama informacija, kaip efektyviai naudoti skaičiuoklę – atlikti duomenų įvestis, gauti ir interpretuoti rezultatus. </a:t>
          </a:r>
        </a:p>
        <a:p>
          <a:pPr marL="0" marR="0" lvl="0" indent="0" defTabSz="914400" eaLnBrk="1" fontAlgn="auto" latinLnBrk="0" hangingPunct="1">
            <a:lnSpc>
              <a:spcPct val="150000"/>
            </a:lnSpc>
            <a:spcBef>
              <a:spcPts val="0"/>
            </a:spcBef>
            <a:spcAft>
              <a:spcPts val="0"/>
            </a:spcAft>
            <a:buClrTx/>
            <a:buSzTx/>
            <a:buFontTx/>
            <a:buNone/>
            <a:tabLst/>
            <a:defRPr/>
          </a:pPr>
          <a:r>
            <a:rPr kumimoji="0" lang="lt-LT" sz="1400" b="1" i="0" u="none" strike="noStrike" kern="0" cap="none" spc="0" normalizeH="0" baseline="0" noProof="0">
              <a:ln>
                <a:noFill/>
              </a:ln>
              <a:solidFill>
                <a:srgbClr val="F4FAF6">
                  <a:lumMod val="25000"/>
                </a:srgbClr>
              </a:solidFill>
              <a:effectLst/>
              <a:uLnTx/>
              <a:uFillTx/>
              <a:latin typeface="Calibri" panose="020F0502020204030204"/>
              <a:ea typeface="+mn-ea"/>
              <a:cs typeface="+mn-cs"/>
            </a:rPr>
            <a:t>Skaičiuoklė</a:t>
          </a:r>
          <a:r>
            <a:rPr kumimoji="0" lang="lt-LT" sz="1400" b="0" i="0" u="none" strike="noStrike" kern="0" cap="none" spc="0" normalizeH="0" baseline="0" noProof="0">
              <a:ln>
                <a:noFill/>
              </a:ln>
              <a:solidFill>
                <a:srgbClr val="F4FAF6">
                  <a:lumMod val="25000"/>
                </a:srgbClr>
              </a:solidFill>
              <a:effectLst/>
              <a:uLnTx/>
              <a:uFillTx/>
              <a:latin typeface="Calibri" panose="020F0502020204030204"/>
              <a:ea typeface="+mn-ea"/>
              <a:cs typeface="+mn-cs"/>
            </a:rPr>
            <a:t>: pateikiama interaktyvi skaičiavimo platforma, leidžianti atlikti kiekybinį </a:t>
          </a:r>
          <a:r>
            <a:rPr kumimoji="0" lang="en-US" sz="1400" b="0" i="0" u="none" strike="noStrike" kern="0" cap="none" spc="0" normalizeH="0" baseline="0" noProof="0">
              <a:ln>
                <a:noFill/>
              </a:ln>
              <a:solidFill>
                <a:srgbClr val="F4FAF6">
                  <a:lumMod val="25000"/>
                </a:srgbClr>
              </a:solidFill>
              <a:effectLst/>
              <a:uLnTx/>
              <a:uFillTx/>
              <a:latin typeface="Calibri" panose="020F0502020204030204"/>
              <a:ea typeface="+mn-ea"/>
              <a:cs typeface="+mn-cs"/>
            </a:rPr>
            <a:t>P</a:t>
          </a:r>
          <a:r>
            <a:rPr kumimoji="0" lang="lt-LT" sz="1400" b="0" i="0" u="none" strike="noStrike" kern="0" cap="none" spc="0" normalizeH="0" baseline="0" noProof="0">
              <a:ln>
                <a:noFill/>
              </a:ln>
              <a:solidFill>
                <a:srgbClr val="F4FAF6">
                  <a:lumMod val="25000"/>
                </a:srgbClr>
              </a:solidFill>
              <a:effectLst/>
              <a:uLnTx/>
              <a:uFillTx/>
              <a:latin typeface="Calibri" panose="020F0502020204030204"/>
              <a:ea typeface="+mn-ea"/>
              <a:cs typeface="+mn-cs"/>
            </a:rPr>
            <a:t>oveikio vertinimą.</a:t>
          </a:r>
        </a:p>
        <a:p>
          <a:pPr marL="0" marR="0" lvl="0" indent="0" defTabSz="914400" eaLnBrk="1" fontAlgn="auto" latinLnBrk="0" hangingPunct="1">
            <a:lnSpc>
              <a:spcPct val="150000"/>
            </a:lnSpc>
            <a:spcBef>
              <a:spcPts val="0"/>
            </a:spcBef>
            <a:spcAft>
              <a:spcPts val="0"/>
            </a:spcAft>
            <a:buClrTx/>
            <a:buSzTx/>
            <a:buFontTx/>
            <a:buNone/>
            <a:tabLst/>
            <a:defRPr/>
          </a:pPr>
          <a:r>
            <a:rPr kumimoji="0" lang="lt-LT" sz="1400" b="1" i="0" u="none" strike="noStrike" kern="0" cap="none" spc="0" normalizeH="0" baseline="0" noProof="0">
              <a:ln>
                <a:noFill/>
              </a:ln>
              <a:solidFill>
                <a:srgbClr val="F4FAF6">
                  <a:lumMod val="25000"/>
                </a:srgbClr>
              </a:solidFill>
              <a:effectLst/>
              <a:uLnTx/>
              <a:uFillTx/>
              <a:latin typeface="Calibri" panose="020F0502020204030204"/>
              <a:ea typeface="+mn-ea"/>
              <a:cs typeface="+mn-cs"/>
            </a:rPr>
            <a:t>Atnaujinimas</a:t>
          </a:r>
          <a:r>
            <a:rPr kumimoji="0" lang="lt-LT" sz="1400" b="0" i="0" u="none" strike="noStrike" kern="0" cap="none" spc="0" normalizeH="0" baseline="0" noProof="0">
              <a:ln>
                <a:noFill/>
              </a:ln>
              <a:solidFill>
                <a:srgbClr val="F4FAF6">
                  <a:lumMod val="25000"/>
                </a:srgbClr>
              </a:solidFill>
              <a:effectLst/>
              <a:uLnTx/>
              <a:uFillTx/>
              <a:latin typeface="Calibri" panose="020F0502020204030204"/>
              <a:ea typeface="+mn-ea"/>
              <a:cs typeface="+mn-cs"/>
            </a:rPr>
            <a:t>: pateikiama visa istorija apie skaičiuoklės atnaujinimus. Skaičiuoklė nuolat tobulinama. </a:t>
          </a:r>
        </a:p>
        <a:p>
          <a:pPr marL="0" marR="0" lvl="0" indent="0" defTabSz="914400" eaLnBrk="1" fontAlgn="auto" latinLnBrk="0" hangingPunct="1">
            <a:lnSpc>
              <a:spcPct val="100000"/>
            </a:lnSpc>
            <a:spcBef>
              <a:spcPts val="0"/>
            </a:spcBef>
            <a:spcAft>
              <a:spcPts val="0"/>
            </a:spcAft>
            <a:buClrTx/>
            <a:buSzTx/>
            <a:buFontTx/>
            <a:buNone/>
            <a:tabLst/>
            <a:defRPr/>
          </a:pPr>
          <a:endParaRPr kumimoji="0" lang="lt-LT" sz="1400" b="0" i="0" u="none" strike="noStrike" kern="0" cap="none" spc="0" normalizeH="0" baseline="0" noProof="0">
            <a:ln>
              <a:noFill/>
            </a:ln>
            <a:solidFill>
              <a:srgbClr val="F4FAF6">
                <a:lumMod val="25000"/>
              </a:srgbClr>
            </a:solidFill>
            <a:effectLst/>
            <a:uLnTx/>
            <a:uFillTx/>
            <a:latin typeface="Calibri" panose="020F0502020204030204"/>
            <a:ea typeface="+mn-ea"/>
            <a:cs typeface="+mn-cs"/>
          </a:endParaRPr>
        </a:p>
      </xdr:txBody>
    </xdr:sp>
    <xdr:clientData/>
  </xdr:twoCellAnchor>
  <xdr:twoCellAnchor>
    <xdr:from>
      <xdr:col>4</xdr:col>
      <xdr:colOff>660</xdr:colOff>
      <xdr:row>46</xdr:row>
      <xdr:rowOff>167208</xdr:rowOff>
    </xdr:from>
    <xdr:to>
      <xdr:col>15</xdr:col>
      <xdr:colOff>947307</xdr:colOff>
      <xdr:row>54</xdr:row>
      <xdr:rowOff>172357</xdr:rowOff>
    </xdr:to>
    <xdr:sp macro="" textlink="">
      <xdr:nvSpPr>
        <xdr:cNvPr id="32" name="TextBox 5">
          <a:extLst>
            <a:ext uri="{FF2B5EF4-FFF2-40B4-BE49-F238E27FC236}">
              <a16:creationId xmlns:a16="http://schemas.microsoft.com/office/drawing/2014/main" id="{D59427CB-9C97-4D51-856D-C4A51031AC2C}"/>
            </a:ext>
          </a:extLst>
        </xdr:cNvPr>
        <xdr:cNvSpPr txBox="1"/>
      </xdr:nvSpPr>
      <xdr:spPr>
        <a:xfrm>
          <a:off x="2576946" y="9002779"/>
          <a:ext cx="7605075" cy="1456578"/>
        </a:xfrm>
        <a:prstGeom prst="rect">
          <a:avLst/>
        </a:prstGeom>
        <a:noFill/>
        <a:ln w="9525" cmpd="sng">
          <a:noFill/>
        </a:ln>
        <a:effectLst/>
      </xdr:spPr>
      <xdr:txBody>
        <a:bodyPr vertOverflow="clip" horzOverflow="clip" wrap="square" rtlCol="0" anchor="t"/>
        <a:lstStyle/>
        <a:p>
          <a:pPr marL="0" marR="0" lvl="0" indent="0" defTabSz="914400" eaLnBrk="1" fontAlgn="auto" latinLnBrk="0" hangingPunct="1">
            <a:lnSpc>
              <a:spcPct val="150000"/>
            </a:lnSpc>
            <a:spcBef>
              <a:spcPts val="0"/>
            </a:spcBef>
            <a:spcAft>
              <a:spcPts val="0"/>
            </a:spcAft>
            <a:buClrTx/>
            <a:buSzTx/>
            <a:buFontTx/>
            <a:buNone/>
            <a:tabLst/>
            <a:defRPr/>
          </a:pPr>
          <a:r>
            <a:rPr kumimoji="0" lang="lt-LT" sz="1400" b="0" i="0" u="none" strike="noStrike" kern="0" cap="none" spc="0" normalizeH="0" baseline="0" noProof="0">
              <a:ln>
                <a:noFill/>
              </a:ln>
              <a:solidFill>
                <a:srgbClr val="F4FAF6">
                  <a:lumMod val="25000"/>
                </a:srgbClr>
              </a:solidFill>
              <a:effectLst/>
              <a:uLnTx/>
              <a:uFillTx/>
              <a:latin typeface="Calibri" panose="020F0502020204030204"/>
              <a:ea typeface="+mn-ea"/>
              <a:cs typeface="+mn-cs"/>
            </a:rPr>
            <a:t>Rekomenduojami citavimo būdai:</a:t>
          </a:r>
        </a:p>
        <a:p>
          <a:pPr marL="0" marR="0" lvl="0" indent="0" defTabSz="914400" eaLnBrk="1" fontAlgn="auto" latinLnBrk="0" hangingPunct="1">
            <a:lnSpc>
              <a:spcPct val="150000"/>
            </a:lnSpc>
            <a:spcBef>
              <a:spcPts val="0"/>
            </a:spcBef>
            <a:spcAft>
              <a:spcPts val="0"/>
            </a:spcAft>
            <a:buClrTx/>
            <a:buSzTx/>
            <a:buFontTx/>
            <a:buNone/>
            <a:tabLst/>
            <a:defRPr/>
          </a:pPr>
          <a:r>
            <a:rPr kumimoji="0" lang="en-US" sz="1400" b="0" i="0" u="none" strike="noStrike" kern="0" cap="none" spc="0" normalizeH="0" baseline="0" noProof="0">
              <a:ln>
                <a:noFill/>
              </a:ln>
              <a:solidFill>
                <a:srgbClr val="F4FAF6">
                  <a:lumMod val="25000"/>
                </a:srgbClr>
              </a:solidFill>
              <a:effectLst/>
              <a:uLnTx/>
              <a:uFillTx/>
              <a:latin typeface="Calibri" panose="020F0502020204030204"/>
              <a:ea typeface="+mn-ea"/>
              <a:cs typeface="+mn-cs"/>
            </a:rPr>
            <a:t>Aplinkos apsaugos agent</a:t>
          </a:r>
          <a:r>
            <a:rPr kumimoji="0" lang="lt-LT" sz="1400" b="0" i="0" u="none" strike="noStrike" kern="0" cap="none" spc="0" normalizeH="0" baseline="0" noProof="0">
              <a:ln>
                <a:noFill/>
              </a:ln>
              <a:solidFill>
                <a:srgbClr val="F4FAF6">
                  <a:lumMod val="25000"/>
                </a:srgbClr>
              </a:solidFill>
              <a:effectLst/>
              <a:uLnTx/>
              <a:uFillTx/>
              <a:latin typeface="Calibri" panose="020F0502020204030204"/>
              <a:ea typeface="+mn-ea"/>
              <a:cs typeface="+mn-cs"/>
            </a:rPr>
            <a:t>ūra (</a:t>
          </a:r>
          <a:r>
            <a:rPr kumimoji="0" lang="en-US" sz="1400" b="0" i="0" u="none" strike="noStrike" kern="0" cap="none" spc="0" normalizeH="0" baseline="0" noProof="0">
              <a:ln>
                <a:noFill/>
              </a:ln>
              <a:solidFill>
                <a:srgbClr val="F4FAF6">
                  <a:lumMod val="25000"/>
                </a:srgbClr>
              </a:solidFill>
              <a:effectLst/>
              <a:uLnTx/>
              <a:uFillTx/>
              <a:latin typeface="Calibri" panose="020F0502020204030204"/>
              <a:ea typeface="+mn-ea"/>
              <a:cs typeface="+mn-cs"/>
            </a:rPr>
            <a:t>metai).</a:t>
          </a:r>
          <a:r>
            <a:rPr kumimoji="0" lang="lt-LT" sz="1400" b="0" i="0" u="none" strike="noStrike" kern="0" cap="none" spc="0" normalizeH="0" baseline="0" noProof="0">
              <a:ln>
                <a:noFill/>
              </a:ln>
              <a:solidFill>
                <a:srgbClr val="F4FAF6">
                  <a:lumMod val="25000"/>
                </a:srgbClr>
              </a:solidFill>
              <a:effectLst/>
              <a:uLnTx/>
              <a:uFillTx/>
              <a:latin typeface="Calibri" panose="020F0502020204030204"/>
              <a:ea typeface="+mn-ea"/>
              <a:cs typeface="+mn-cs"/>
            </a:rPr>
            <a:t> Kelių transporto priemonių degalų rūšies reguliavimo poveikio vertinimo skaičiuoklė. </a:t>
          </a:r>
          <a:r>
            <a:rPr kumimoji="0" lang="en-US" sz="1400" b="0" i="0" u="none" strike="noStrike" kern="0" cap="none" spc="0" normalizeH="0" baseline="0" noProof="0">
              <a:ln>
                <a:noFill/>
              </a:ln>
              <a:solidFill>
                <a:srgbClr val="F4FAF6">
                  <a:lumMod val="25000"/>
                </a:srgbClr>
              </a:solidFill>
              <a:effectLst/>
              <a:uLnTx/>
              <a:uFillTx/>
              <a:latin typeface="Calibri" panose="020F0502020204030204"/>
              <a:ea typeface="+mn-ea"/>
              <a:cs typeface="+mn-cs"/>
            </a:rPr>
            <a:t>Vilnius</a:t>
          </a:r>
          <a:endParaRPr kumimoji="0" lang="lt-LT" sz="1400" b="0" i="0" u="none" strike="noStrike" kern="0" cap="none" spc="0" normalizeH="0" baseline="0" noProof="0">
            <a:ln>
              <a:noFill/>
            </a:ln>
            <a:solidFill>
              <a:srgbClr val="F4FAF6">
                <a:lumMod val="25000"/>
              </a:srgbClr>
            </a:solidFill>
            <a:effectLst/>
            <a:uLnTx/>
            <a:uFillTx/>
            <a:latin typeface="Calibri" panose="020F0502020204030204"/>
            <a:ea typeface="+mn-ea"/>
            <a:cs typeface="+mn-cs"/>
          </a:endParaRPr>
        </a:p>
        <a:p>
          <a:pPr marL="0" marR="0" lvl="0" indent="0" defTabSz="914400" eaLnBrk="1" fontAlgn="auto" latinLnBrk="0" hangingPunct="1">
            <a:lnSpc>
              <a:spcPct val="150000"/>
            </a:lnSpc>
            <a:spcBef>
              <a:spcPts val="0"/>
            </a:spcBef>
            <a:spcAft>
              <a:spcPts val="0"/>
            </a:spcAft>
            <a:buClrTx/>
            <a:buSzTx/>
            <a:buFontTx/>
            <a:buNone/>
            <a:tabLst/>
            <a:defRPr/>
          </a:pPr>
          <a:r>
            <a:rPr kumimoji="0" lang="en-US" sz="1400" b="0" i="0" u="none" strike="noStrike" kern="0" cap="none" spc="0" normalizeH="0" baseline="0" noProof="0">
              <a:ln>
                <a:noFill/>
              </a:ln>
              <a:solidFill>
                <a:srgbClr val="F4FAF6">
                  <a:lumMod val="25000"/>
                </a:srgbClr>
              </a:solidFill>
              <a:effectLst/>
              <a:uLnTx/>
              <a:uFillTx/>
              <a:latin typeface="Calibri" panose="020F0502020204030204"/>
              <a:ea typeface="+mn-ea"/>
              <a:cs typeface="+mn-cs"/>
            </a:rPr>
            <a:t>©</a:t>
          </a:r>
          <a:r>
            <a:rPr kumimoji="0" lang="lt-LT" sz="1400" b="0" i="0" u="none" strike="noStrike" kern="0" cap="none" spc="0" normalizeH="0" baseline="0" noProof="0">
              <a:ln>
                <a:noFill/>
              </a:ln>
              <a:solidFill>
                <a:srgbClr val="F4FAF6">
                  <a:lumMod val="25000"/>
                </a:srgbClr>
              </a:solidFill>
              <a:effectLst/>
              <a:uLnTx/>
              <a:uFillTx/>
              <a:latin typeface="Calibri" panose="020F0502020204030204"/>
              <a:ea typeface="+mn-ea"/>
              <a:cs typeface="+mn-cs"/>
            </a:rPr>
            <a:t> Aplinkos apsaugos agentūra</a:t>
          </a:r>
        </a:p>
        <a:p>
          <a:pPr marL="0" marR="0" lvl="0" indent="0" defTabSz="914400" eaLnBrk="1" fontAlgn="auto" latinLnBrk="0" hangingPunct="1">
            <a:lnSpc>
              <a:spcPct val="100000"/>
            </a:lnSpc>
            <a:spcBef>
              <a:spcPts val="0"/>
            </a:spcBef>
            <a:spcAft>
              <a:spcPts val="0"/>
            </a:spcAft>
            <a:buClrTx/>
            <a:buSzTx/>
            <a:buFontTx/>
            <a:buNone/>
            <a:tabLst/>
            <a:defRPr/>
          </a:pPr>
          <a:endParaRPr kumimoji="0" lang="lt-LT" sz="1200" b="0" i="0" u="none" strike="noStrike" kern="0" cap="none" spc="0" normalizeH="0" baseline="0" noProof="0">
            <a:ln>
              <a:noFill/>
            </a:ln>
            <a:solidFill>
              <a:srgbClr val="F4FAF6">
                <a:lumMod val="25000"/>
              </a:srgbClr>
            </a:solidFill>
            <a:effectLst/>
            <a:uLnTx/>
            <a:uFillTx/>
            <a:latin typeface="Calibri" panose="020F0502020204030204"/>
            <a:ea typeface="+mn-ea"/>
            <a:cs typeface="+mn-cs"/>
          </a:endParaRPr>
        </a:p>
      </xdr:txBody>
    </xdr:sp>
    <xdr:clientData/>
  </xdr:twoCellAnchor>
  <xdr:twoCellAnchor>
    <xdr:from>
      <xdr:col>4</xdr:col>
      <xdr:colOff>33609</xdr:colOff>
      <xdr:row>43</xdr:row>
      <xdr:rowOff>178214</xdr:rowOff>
    </xdr:from>
    <xdr:to>
      <xdr:col>15</xdr:col>
      <xdr:colOff>1095298</xdr:colOff>
      <xdr:row>46</xdr:row>
      <xdr:rowOff>88738</xdr:rowOff>
    </xdr:to>
    <xdr:sp macro="" textlink="">
      <xdr:nvSpPr>
        <xdr:cNvPr id="33" name="TextBox 6">
          <a:extLst>
            <a:ext uri="{FF2B5EF4-FFF2-40B4-BE49-F238E27FC236}">
              <a16:creationId xmlns:a16="http://schemas.microsoft.com/office/drawing/2014/main" id="{93A3F6B9-CF20-4BC0-A8A0-5B4CA216795C}"/>
            </a:ext>
          </a:extLst>
        </xdr:cNvPr>
        <xdr:cNvSpPr txBox="1"/>
      </xdr:nvSpPr>
      <xdr:spPr>
        <a:xfrm>
          <a:off x="2619791" y="8548669"/>
          <a:ext cx="7758052" cy="464705"/>
        </a:xfrm>
        <a:prstGeom prst="rect">
          <a:avLst/>
        </a:prstGeom>
        <a:noFill/>
        <a:ln w="9525" cmpd="sng">
          <a:noFill/>
        </a:ln>
        <a:effectLst/>
      </xdr:spPr>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0" lang="lt-LT" sz="1600" b="1" i="0" u="none" strike="noStrike" kern="0" cap="none" spc="0" normalizeH="0" baseline="0" noProof="0">
              <a:ln>
                <a:noFill/>
              </a:ln>
              <a:solidFill>
                <a:srgbClr val="F4FAF6">
                  <a:lumMod val="25000"/>
                </a:srgbClr>
              </a:solidFill>
              <a:effectLst/>
              <a:uLnTx/>
              <a:uFillTx/>
              <a:latin typeface="Calibri" panose="020F0502020204030204"/>
              <a:ea typeface="+mn-ea"/>
              <a:cs typeface="+mn-cs"/>
            </a:rPr>
            <a:t>SKAIČIUOKLĖS AUTORINIŲ TEISIŲ APSAUGA</a:t>
          </a:r>
        </a:p>
      </xdr:txBody>
    </xdr:sp>
    <xdr:clientData/>
  </xdr:twoCellAnchor>
  <xdr:twoCellAnchor>
    <xdr:from>
      <xdr:col>4</xdr:col>
      <xdr:colOff>57728</xdr:colOff>
      <xdr:row>33</xdr:row>
      <xdr:rowOff>77106</xdr:rowOff>
    </xdr:from>
    <xdr:to>
      <xdr:col>16</xdr:col>
      <xdr:colOff>200728</xdr:colOff>
      <xdr:row>40</xdr:row>
      <xdr:rowOff>175945</xdr:rowOff>
    </xdr:to>
    <xdr:sp macro="" textlink="">
      <xdr:nvSpPr>
        <xdr:cNvPr id="35" name="TextBox 16">
          <a:extLst>
            <a:ext uri="{FF2B5EF4-FFF2-40B4-BE49-F238E27FC236}">
              <a16:creationId xmlns:a16="http://schemas.microsoft.com/office/drawing/2014/main" id="{E7CBD853-3032-4A6E-9594-D12A06F54FE1}"/>
            </a:ext>
          </a:extLst>
        </xdr:cNvPr>
        <xdr:cNvSpPr txBox="1"/>
      </xdr:nvSpPr>
      <xdr:spPr>
        <a:xfrm>
          <a:off x="2643910" y="6554106"/>
          <a:ext cx="8271000" cy="1438112"/>
        </a:xfrm>
        <a:prstGeom prst="rect">
          <a:avLst/>
        </a:prstGeom>
        <a:noFill/>
        <a:ln w="9525" cmpd="sng">
          <a:noFill/>
        </a:ln>
        <a:effectLst/>
      </xdr:spPr>
      <xdr:txBody>
        <a:bodyPr vertOverflow="clip" horzOverflow="clip" wrap="square" rtlCol="0" anchor="t"/>
        <a:lstStyle/>
        <a:p>
          <a:pPr marL="0" marR="0" lvl="0" indent="0" defTabSz="914400" eaLnBrk="1" fontAlgn="auto" latinLnBrk="0" hangingPunct="1">
            <a:lnSpc>
              <a:spcPct val="150000"/>
            </a:lnSpc>
            <a:spcBef>
              <a:spcPts val="0"/>
            </a:spcBef>
            <a:spcAft>
              <a:spcPts val="800"/>
            </a:spcAft>
            <a:buClrTx/>
            <a:buSzTx/>
            <a:buFontTx/>
            <a:buNone/>
            <a:tabLst/>
            <a:defRPr/>
          </a:pPr>
          <a:r>
            <a:rPr kumimoji="0" lang="lt-LT" sz="1600" b="1" i="0" u="none" strike="noStrike" kern="0" cap="none" spc="0" normalizeH="0" baseline="0" noProof="0">
              <a:ln>
                <a:noFill/>
              </a:ln>
              <a:solidFill>
                <a:srgbClr val="F4FAF6">
                  <a:lumMod val="25000"/>
                </a:srgbClr>
              </a:solidFill>
              <a:effectLst/>
              <a:uLnTx/>
              <a:uFillTx/>
              <a:latin typeface="Calibri" panose="020F0502020204030204"/>
              <a:ea typeface="+mn-ea"/>
              <a:cs typeface="+mn-cs"/>
            </a:rPr>
            <a:t>PAGALBA IR ATSILIEPIMAI</a:t>
          </a:r>
          <a:endParaRPr kumimoji="0" lang="lt-LT" sz="1600" b="0" i="0" u="none" strike="noStrike" kern="0" cap="none" spc="0" normalizeH="0" baseline="0" noProof="0">
            <a:ln>
              <a:noFill/>
            </a:ln>
            <a:solidFill>
              <a:srgbClr val="F4FAF6">
                <a:lumMod val="25000"/>
              </a:srgbClr>
            </a:solidFill>
            <a:effectLst/>
            <a:uLnTx/>
            <a:uFillTx/>
            <a:latin typeface="Calibri" panose="020F0502020204030204"/>
            <a:ea typeface="+mn-ea"/>
            <a:cs typeface="+mn-cs"/>
          </a:endParaRPr>
        </a:p>
        <a:p>
          <a:pPr marL="0" marR="0" lvl="0" indent="0" defTabSz="914400" eaLnBrk="1" fontAlgn="auto" latinLnBrk="0" hangingPunct="1">
            <a:lnSpc>
              <a:spcPct val="150000"/>
            </a:lnSpc>
            <a:spcBef>
              <a:spcPts val="0"/>
            </a:spcBef>
            <a:spcAft>
              <a:spcPts val="0"/>
            </a:spcAft>
            <a:buClrTx/>
            <a:buSzTx/>
            <a:buFontTx/>
            <a:buNone/>
            <a:tabLst/>
            <a:defRPr/>
          </a:pPr>
          <a:r>
            <a:rPr kumimoji="0" lang="lt-LT" sz="1400" b="0" i="0" u="none" strike="noStrike" kern="0" cap="none" spc="0" normalizeH="0" baseline="0" noProof="0">
              <a:ln>
                <a:noFill/>
              </a:ln>
              <a:solidFill>
                <a:srgbClr val="F4FAF6">
                  <a:lumMod val="25000"/>
                </a:srgbClr>
              </a:solidFill>
              <a:effectLst/>
              <a:uLnTx/>
              <a:uFillTx/>
              <a:latin typeface="Calibri" panose="020F0502020204030204"/>
              <a:ea typeface="+mn-ea"/>
              <a:cs typeface="+mn-cs"/>
            </a:rPr>
            <a:t>Iškilus klausimams dėl skaičiuoklės naudojimo kviečiame kreiptis meniu juostoje nurodytais kontaktais.</a:t>
          </a:r>
        </a:p>
        <a:p>
          <a:pPr marL="0" marR="0" lvl="0" indent="0" defTabSz="914400" eaLnBrk="1" fontAlgn="auto" latinLnBrk="0" hangingPunct="1">
            <a:lnSpc>
              <a:spcPct val="100000"/>
            </a:lnSpc>
            <a:spcBef>
              <a:spcPts val="0"/>
            </a:spcBef>
            <a:spcAft>
              <a:spcPts val="0"/>
            </a:spcAft>
            <a:buClrTx/>
            <a:buSzTx/>
            <a:buFontTx/>
            <a:buNone/>
            <a:tabLst/>
            <a:defRPr/>
          </a:pPr>
          <a:endParaRPr kumimoji="0" lang="lt-LT" sz="1400" b="0" i="0" u="none" strike="noStrike" kern="0" cap="none" spc="0" normalizeH="0" baseline="0" noProof="0">
            <a:ln>
              <a:noFill/>
            </a:ln>
            <a:solidFill>
              <a:srgbClr val="F4FAF6">
                <a:lumMod val="25000"/>
              </a:srgbClr>
            </a:solidFill>
            <a:effectLst/>
            <a:uLnTx/>
            <a:uFillTx/>
            <a:latin typeface="Calibri" panose="020F0502020204030204"/>
            <a:ea typeface="+mn-ea"/>
            <a:cs typeface="+mn-cs"/>
          </a:endParaRPr>
        </a:p>
      </xdr:txBody>
    </xdr:sp>
    <xdr:clientData/>
  </xdr:twoCellAnchor>
  <xdr:twoCellAnchor>
    <xdr:from>
      <xdr:col>16</xdr:col>
      <xdr:colOff>524491</xdr:colOff>
      <xdr:row>9</xdr:row>
      <xdr:rowOff>99374</xdr:rowOff>
    </xdr:from>
    <xdr:to>
      <xdr:col>29</xdr:col>
      <xdr:colOff>302242</xdr:colOff>
      <xdr:row>11</xdr:row>
      <xdr:rowOff>89897</xdr:rowOff>
    </xdr:to>
    <xdr:sp macro="" textlink="">
      <xdr:nvSpPr>
        <xdr:cNvPr id="37" name="TextBox 36">
          <a:extLst>
            <a:ext uri="{FF2B5EF4-FFF2-40B4-BE49-F238E27FC236}">
              <a16:creationId xmlns:a16="http://schemas.microsoft.com/office/drawing/2014/main" id="{733D1918-77F1-4E92-BDFD-31F272A40544}"/>
            </a:ext>
          </a:extLst>
        </xdr:cNvPr>
        <xdr:cNvSpPr txBox="1"/>
      </xdr:nvSpPr>
      <xdr:spPr>
        <a:xfrm>
          <a:off x="11238673" y="1900465"/>
          <a:ext cx="8182842" cy="359977"/>
        </a:xfrm>
        <a:prstGeom prst="rect">
          <a:avLst/>
        </a:prstGeom>
        <a:solidFill>
          <a:srgbClr val="94D9F8">
            <a:lumMod val="40000"/>
            <a:lumOff val="60000"/>
          </a:srgbClr>
        </a:solidFill>
        <a:ln w="9525" cmpd="sng">
          <a:noFill/>
        </a:ln>
        <a:effectLst/>
      </xdr:spPr>
      <xdr:txBody>
        <a:bodyPr vertOverflow="clip" horzOverflow="clip" wrap="square"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0" lang="en-US" sz="1600" b="1" i="0" u="none" strike="noStrike" kern="0" cap="none" spc="0" normalizeH="0" baseline="0" noProof="0">
              <a:ln>
                <a:noFill/>
              </a:ln>
              <a:solidFill>
                <a:srgbClr val="F4FAF6">
                  <a:lumMod val="25000"/>
                </a:srgbClr>
              </a:solidFill>
              <a:effectLst/>
              <a:uLnTx/>
              <a:uFillTx/>
              <a:latin typeface="Calibri" panose="020F0502020204030204"/>
              <a:ea typeface="+mn-ea"/>
              <a:cs typeface="+mn-cs"/>
            </a:rPr>
            <a:t>NAUDOJAM</a:t>
          </a:r>
          <a:r>
            <a:rPr kumimoji="0" lang="lt-LT" sz="1600" b="1" i="0" u="none" strike="noStrike" kern="0" cap="none" spc="0" normalizeH="0" baseline="0" noProof="0">
              <a:ln>
                <a:noFill/>
              </a:ln>
              <a:solidFill>
                <a:srgbClr val="F4FAF6">
                  <a:lumMod val="25000"/>
                </a:srgbClr>
              </a:solidFill>
              <a:effectLst/>
              <a:uLnTx/>
              <a:uFillTx/>
              <a:latin typeface="Calibri" panose="020F0502020204030204"/>
              <a:ea typeface="+mn-ea"/>
              <a:cs typeface="+mn-cs"/>
            </a:rPr>
            <a:t>I TERMINAI</a:t>
          </a:r>
        </a:p>
      </xdr:txBody>
    </xdr:sp>
    <xdr:clientData/>
  </xdr:twoCellAnchor>
</xdr:wsDr>
</file>

<file path=xl/drawings/drawing2.xml><?xml version="1.0" encoding="utf-8"?>
<xdr:wsDr xmlns:xdr="http://schemas.openxmlformats.org/drawingml/2006/spreadsheetDrawing" xmlns:a="http://schemas.openxmlformats.org/drawingml/2006/main">
  <xdr:oneCellAnchor>
    <xdr:from>
      <xdr:col>0</xdr:col>
      <xdr:colOff>122464</xdr:colOff>
      <xdr:row>0</xdr:row>
      <xdr:rowOff>136071</xdr:rowOff>
    </xdr:from>
    <xdr:ext cx="1932215" cy="13680621"/>
    <xdr:pic>
      <xdr:nvPicPr>
        <xdr:cNvPr id="2" name="Picture 1">
          <a:extLst>
            <a:ext uri="{FF2B5EF4-FFF2-40B4-BE49-F238E27FC236}">
              <a16:creationId xmlns:a16="http://schemas.microsoft.com/office/drawing/2014/main" id="{09FD2D1F-8453-48ED-A9C6-91CE52CBB9A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2464" y="136071"/>
          <a:ext cx="1932215" cy="13680621"/>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twoCellAnchor>
    <xdr:from>
      <xdr:col>0</xdr:col>
      <xdr:colOff>357188</xdr:colOff>
      <xdr:row>2</xdr:row>
      <xdr:rowOff>30613</xdr:rowOff>
    </xdr:from>
    <xdr:to>
      <xdr:col>2</xdr:col>
      <xdr:colOff>521406</xdr:colOff>
      <xdr:row>5</xdr:row>
      <xdr:rowOff>30590</xdr:rowOff>
    </xdr:to>
    <xdr:pic>
      <xdr:nvPicPr>
        <xdr:cNvPr id="3" name="Paveikslėlis 2">
          <a:extLst>
            <a:ext uri="{FF2B5EF4-FFF2-40B4-BE49-F238E27FC236}">
              <a16:creationId xmlns:a16="http://schemas.microsoft.com/office/drawing/2014/main" id="{F8B2AC4B-364D-4F10-AC46-F3603336DC05}"/>
            </a:ext>
            <a:ext uri="{147F2762-F138-4A5C-976F-8EAC2B608ADB}">
              <a16:predDERef xmlns:a16="http://schemas.microsoft.com/office/drawing/2014/main" pred="{46023FA3-9223-450D-88ED-40320E00CA58}"/>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357188" y="411613"/>
          <a:ext cx="1388861" cy="598691"/>
        </a:xfrm>
        <a:prstGeom prst="rect">
          <a:avLst/>
        </a:prstGeom>
      </xdr:spPr>
    </xdr:pic>
    <xdr:clientData/>
  </xdr:twoCellAnchor>
  <xdr:oneCellAnchor>
    <xdr:from>
      <xdr:col>1</xdr:col>
      <xdr:colOff>80025</xdr:colOff>
      <xdr:row>220</xdr:row>
      <xdr:rowOff>118851</xdr:rowOff>
    </xdr:from>
    <xdr:ext cx="819562" cy="873993"/>
    <xdr:pic>
      <xdr:nvPicPr>
        <xdr:cNvPr id="4" name="Paveikslėlis 28">
          <a:extLst>
            <a:ext uri="{FF2B5EF4-FFF2-40B4-BE49-F238E27FC236}">
              <a16:creationId xmlns:a16="http://schemas.microsoft.com/office/drawing/2014/main" id="{5B1BED55-027B-485D-975D-7C01967048E3}"/>
            </a:ext>
          </a:extLst>
        </xdr:cNvPr>
        <xdr:cNvPicPr>
          <a:picLocks noChangeAspect="1"/>
        </xdr:cNvPicPr>
      </xdr:nvPicPr>
      <xdr:blipFill>
        <a:blip xmlns:r="http://schemas.openxmlformats.org/officeDocument/2006/relationships" r:embed="rId3" cstate="print">
          <a:extLst>
            <a:ext uri="{BEBA8EAE-BF5A-486C-A8C5-ECC9F3942E4B}">
              <a14:imgProps xmlns:a14="http://schemas.microsoft.com/office/drawing/2010/main">
                <a14:imgLayer r:embed="rId4">
                  <a14:imgEffect>
                    <a14:colorTemperature colorTemp="5300"/>
                  </a14:imgEffect>
                </a14:imgLayer>
              </a14:imgProps>
            </a:ext>
            <a:ext uri="{28A0092B-C50C-407E-A947-70E740481C1C}">
              <a14:useLocalDpi xmlns:a14="http://schemas.microsoft.com/office/drawing/2010/main" val="0"/>
            </a:ext>
          </a:extLst>
        </a:blip>
        <a:stretch>
          <a:fillRect/>
        </a:stretch>
      </xdr:blipFill>
      <xdr:spPr>
        <a:xfrm>
          <a:off x="692346" y="8636922"/>
          <a:ext cx="819562" cy="873993"/>
        </a:xfrm>
        <a:prstGeom prst="rect">
          <a:avLst/>
        </a:prstGeom>
      </xdr:spPr>
    </xdr:pic>
    <xdr:clientData/>
  </xdr:oneCellAnchor>
  <xdr:twoCellAnchor>
    <xdr:from>
      <xdr:col>0</xdr:col>
      <xdr:colOff>536574</xdr:colOff>
      <xdr:row>215</xdr:row>
      <xdr:rowOff>168201</xdr:rowOff>
    </xdr:from>
    <xdr:to>
      <xdr:col>3</xdr:col>
      <xdr:colOff>37395</xdr:colOff>
      <xdr:row>218</xdr:row>
      <xdr:rowOff>135718</xdr:rowOff>
    </xdr:to>
    <xdr:sp macro="" textlink="">
      <xdr:nvSpPr>
        <xdr:cNvPr id="5" name="TextBox 4">
          <a:extLst>
            <a:ext uri="{FF2B5EF4-FFF2-40B4-BE49-F238E27FC236}">
              <a16:creationId xmlns:a16="http://schemas.microsoft.com/office/drawing/2014/main" id="{369E5C0F-CA1E-45B7-AC7E-CB279AC25847}"/>
            </a:ext>
          </a:extLst>
        </xdr:cNvPr>
        <xdr:cNvSpPr txBox="1"/>
      </xdr:nvSpPr>
      <xdr:spPr>
        <a:xfrm>
          <a:off x="536574" y="7733772"/>
          <a:ext cx="1337785" cy="5390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lt-LT">
              <a:solidFill>
                <a:srgbClr val="808080"/>
              </a:solidFill>
            </a:rPr>
            <a:t>+370 682 92 653</a:t>
          </a:r>
          <a:endParaRPr lang="lt-LT" sz="1100">
            <a:solidFill>
              <a:srgbClr val="808080"/>
            </a:solidFill>
          </a:endParaRPr>
        </a:p>
      </xdr:txBody>
    </xdr:sp>
    <xdr:clientData/>
  </xdr:twoCellAnchor>
  <xdr:twoCellAnchor>
    <xdr:from>
      <xdr:col>0</xdr:col>
      <xdr:colOff>356705</xdr:colOff>
      <xdr:row>226</xdr:row>
      <xdr:rowOff>48585</xdr:rowOff>
    </xdr:from>
    <xdr:to>
      <xdr:col>3</xdr:col>
      <xdr:colOff>105295</xdr:colOff>
      <xdr:row>228</xdr:row>
      <xdr:rowOff>19464</xdr:rowOff>
    </xdr:to>
    <xdr:sp macro="" textlink="">
      <xdr:nvSpPr>
        <xdr:cNvPr id="6" name="TextBox 5">
          <a:hlinkClick xmlns:r="http://schemas.openxmlformats.org/officeDocument/2006/relationships" r:id="rId5"/>
          <a:extLst>
            <a:ext uri="{FF2B5EF4-FFF2-40B4-BE49-F238E27FC236}">
              <a16:creationId xmlns:a16="http://schemas.microsoft.com/office/drawing/2014/main" id="{CD93C7CA-FD41-4E5F-8D77-3F65817CAF5A}"/>
            </a:ext>
          </a:extLst>
        </xdr:cNvPr>
        <xdr:cNvSpPr txBox="1"/>
      </xdr:nvSpPr>
      <xdr:spPr>
        <a:xfrm>
          <a:off x="356705" y="9709656"/>
          <a:ext cx="1585554" cy="35187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lt-LT" sz="1100">
              <a:solidFill>
                <a:srgbClr val="808080"/>
              </a:solidFill>
            </a:rPr>
            <a:t>https://www.gamta.lt/</a:t>
          </a:r>
        </a:p>
      </xdr:txBody>
    </xdr:sp>
    <xdr:clientData/>
  </xdr:twoCellAnchor>
  <xdr:oneCellAnchor>
    <xdr:from>
      <xdr:col>1</xdr:col>
      <xdr:colOff>268741</xdr:colOff>
      <xdr:row>212</xdr:row>
      <xdr:rowOff>127564</xdr:rowOff>
    </xdr:from>
    <xdr:ext cx="354857" cy="428190"/>
    <xdr:pic>
      <xdr:nvPicPr>
        <xdr:cNvPr id="7" name="Grafinis elementas 27" descr="Receiver outline">
          <a:extLst>
            <a:ext uri="{FF2B5EF4-FFF2-40B4-BE49-F238E27FC236}">
              <a16:creationId xmlns:a16="http://schemas.microsoft.com/office/drawing/2014/main" id="{CB5BC60E-5B9D-4CA7-9782-DE89B078F5AF}"/>
            </a:ext>
          </a:extLst>
        </xdr:cNvPr>
        <xdr:cNvPicPr>
          <a:picLocks noChangeAspect="1"/>
        </xdr:cNvPicPr>
      </xdr:nvPicPr>
      <xdr:blipFill>
        <a:blip xmlns:r="http://schemas.openxmlformats.org/officeDocument/2006/relationships" r:embed="rId6" cstate="print">
          <a:extLst>
            <a:ext uri="{28A0092B-C50C-407E-A947-70E740481C1C}">
              <a14:useLocalDpi xmlns:a14="http://schemas.microsoft.com/office/drawing/2010/main" val="0"/>
            </a:ext>
            <a:ext uri="{96DAC541-7B7A-43D3-8B79-37D633B846F1}">
              <asvg:svgBlip xmlns:asvg="http://schemas.microsoft.com/office/drawing/2016/SVG/main" r:embed="rId7"/>
            </a:ext>
          </a:extLst>
        </a:blip>
        <a:stretch>
          <a:fillRect/>
        </a:stretch>
      </xdr:blipFill>
      <xdr:spPr>
        <a:xfrm>
          <a:off x="881062" y="7121635"/>
          <a:ext cx="354857" cy="428190"/>
        </a:xfrm>
        <a:prstGeom prst="rect">
          <a:avLst/>
        </a:prstGeom>
      </xdr:spPr>
    </xdr:pic>
    <xdr:clientData/>
  </xdr:oneCellAnchor>
  <xdr:oneCellAnchor>
    <xdr:from>
      <xdr:col>1</xdr:col>
      <xdr:colOff>190500</xdr:colOff>
      <xdr:row>204</xdr:row>
      <xdr:rowOff>79940</xdr:rowOff>
    </xdr:from>
    <xdr:ext cx="502249" cy="497198"/>
    <xdr:pic>
      <xdr:nvPicPr>
        <xdr:cNvPr id="8" name="Grafinis elementas 16" descr="Envelope outline">
          <a:extLst>
            <a:ext uri="{FF2B5EF4-FFF2-40B4-BE49-F238E27FC236}">
              <a16:creationId xmlns:a16="http://schemas.microsoft.com/office/drawing/2014/main" id="{B050D64D-91F5-46DD-B8DB-CB3973296A91}"/>
            </a:ext>
          </a:extLst>
        </xdr:cNvPr>
        <xdr:cNvPicPr>
          <a:picLocks noChangeAspect="1"/>
        </xdr:cNvPicPr>
      </xdr:nvPicPr>
      <xdr:blipFill>
        <a:blip xmlns:r="http://schemas.openxmlformats.org/officeDocument/2006/relationships" r:embed="rId8" cstate="print">
          <a:extLst>
            <a:ext uri="{28A0092B-C50C-407E-A947-70E740481C1C}">
              <a14:useLocalDpi xmlns:a14="http://schemas.microsoft.com/office/drawing/2010/main" val="0"/>
            </a:ext>
            <a:ext uri="{96DAC541-7B7A-43D3-8B79-37D633B846F1}">
              <asvg:svgBlip xmlns:asvg="http://schemas.microsoft.com/office/drawing/2016/SVG/main" r:embed="rId9"/>
            </a:ext>
          </a:extLst>
        </a:blip>
        <a:stretch>
          <a:fillRect/>
        </a:stretch>
      </xdr:blipFill>
      <xdr:spPr>
        <a:xfrm>
          <a:off x="802821" y="5550011"/>
          <a:ext cx="502249" cy="497198"/>
        </a:xfrm>
        <a:prstGeom prst="rect">
          <a:avLst/>
        </a:prstGeom>
      </xdr:spPr>
    </xdr:pic>
    <xdr:clientData/>
  </xdr:oneCellAnchor>
  <xdr:twoCellAnchor>
    <xdr:from>
      <xdr:col>0</xdr:col>
      <xdr:colOff>357754</xdr:colOff>
      <xdr:row>6</xdr:row>
      <xdr:rowOff>358888</xdr:rowOff>
    </xdr:from>
    <xdr:to>
      <xdr:col>3</xdr:col>
      <xdr:colOff>34</xdr:colOff>
      <xdr:row>7</xdr:row>
      <xdr:rowOff>285750</xdr:rowOff>
    </xdr:to>
    <xdr:pic>
      <xdr:nvPicPr>
        <xdr:cNvPr id="9" name="Picture 69">
          <a:hlinkClick xmlns:r="http://schemas.openxmlformats.org/officeDocument/2006/relationships" r:id="rId10"/>
          <a:extLst>
            <a:ext uri="{FF2B5EF4-FFF2-40B4-BE49-F238E27FC236}">
              <a16:creationId xmlns:a16="http://schemas.microsoft.com/office/drawing/2014/main" id="{5604FE76-7367-4A49-AA8D-ABED8B1C04F0}"/>
            </a:ext>
          </a:extLst>
        </xdr:cNvPr>
        <xdr:cNvPicPr>
          <a:picLocks noChangeAspect="1"/>
        </xdr:cNvPicPr>
      </xdr:nvPicPr>
      <xdr:blipFill>
        <a:blip xmlns:r="http://schemas.openxmlformats.org/officeDocument/2006/relationships" r:embed="rId11">
          <a:duotone>
            <a:schemeClr val="accent4">
              <a:shade val="45000"/>
              <a:satMod val="135000"/>
            </a:schemeClr>
            <a:prstClr val="white"/>
          </a:duotone>
        </a:blip>
        <a:stretch>
          <a:fillRect/>
        </a:stretch>
      </xdr:blipFill>
      <xdr:spPr>
        <a:xfrm>
          <a:off x="357754" y="1542709"/>
          <a:ext cx="1479244" cy="716077"/>
        </a:xfrm>
        <a:prstGeom prst="rect">
          <a:avLst/>
        </a:prstGeom>
      </xdr:spPr>
    </xdr:pic>
    <xdr:clientData/>
  </xdr:twoCellAnchor>
  <xdr:twoCellAnchor>
    <xdr:from>
      <xdr:col>0</xdr:col>
      <xdr:colOff>341879</xdr:colOff>
      <xdr:row>15</xdr:row>
      <xdr:rowOff>141672</xdr:rowOff>
    </xdr:from>
    <xdr:to>
      <xdr:col>2</xdr:col>
      <xdr:colOff>594971</xdr:colOff>
      <xdr:row>202</xdr:row>
      <xdr:rowOff>154779</xdr:rowOff>
    </xdr:to>
    <xdr:pic>
      <xdr:nvPicPr>
        <xdr:cNvPr id="12" name="Picture 72">
          <a:hlinkClick xmlns:r="http://schemas.openxmlformats.org/officeDocument/2006/relationships" r:id="rId12"/>
          <a:extLst>
            <a:ext uri="{FF2B5EF4-FFF2-40B4-BE49-F238E27FC236}">
              <a16:creationId xmlns:a16="http://schemas.microsoft.com/office/drawing/2014/main" id="{654C2FCF-AA97-4E07-9E56-2B2DD3F0F473}"/>
            </a:ext>
          </a:extLst>
        </xdr:cNvPr>
        <xdr:cNvPicPr>
          <a:picLocks noChangeAspect="1"/>
        </xdr:cNvPicPr>
      </xdr:nvPicPr>
      <xdr:blipFill>
        <a:blip xmlns:r="http://schemas.openxmlformats.org/officeDocument/2006/relationships" r:embed="rId13">
          <a:duotone>
            <a:schemeClr val="accent4">
              <a:shade val="45000"/>
              <a:satMod val="135000"/>
            </a:schemeClr>
            <a:prstClr val="white"/>
          </a:duotone>
        </a:blip>
        <a:stretch>
          <a:fillRect/>
        </a:stretch>
      </xdr:blipFill>
      <xdr:spPr>
        <a:xfrm>
          <a:off x="341879" y="4482351"/>
          <a:ext cx="1477735" cy="761499"/>
        </a:xfrm>
        <a:prstGeom prst="rect">
          <a:avLst/>
        </a:prstGeom>
      </xdr:spPr>
    </xdr:pic>
    <xdr:clientData/>
  </xdr:twoCellAnchor>
  <xdr:twoCellAnchor>
    <xdr:from>
      <xdr:col>0</xdr:col>
      <xdr:colOff>571501</xdr:colOff>
      <xdr:row>207</xdr:row>
      <xdr:rowOff>190499</xdr:rowOff>
    </xdr:from>
    <xdr:to>
      <xdr:col>3</xdr:col>
      <xdr:colOff>67218</xdr:colOff>
      <xdr:row>209</xdr:row>
      <xdr:rowOff>86887</xdr:rowOff>
    </xdr:to>
    <xdr:sp macro="" textlink="">
      <xdr:nvSpPr>
        <xdr:cNvPr id="13" name="TextBox 12">
          <a:extLst>
            <a:ext uri="{FF2B5EF4-FFF2-40B4-BE49-F238E27FC236}">
              <a16:creationId xmlns:a16="http://schemas.microsoft.com/office/drawing/2014/main" id="{E6934CA9-0A9B-40F5-9424-7BD92487209F}"/>
            </a:ext>
          </a:extLst>
        </xdr:cNvPr>
        <xdr:cNvSpPr txBox="1"/>
      </xdr:nvSpPr>
      <xdr:spPr>
        <a:xfrm>
          <a:off x="571501" y="6232070"/>
          <a:ext cx="1332681" cy="27738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lt-LT" sz="1100">
              <a:solidFill>
                <a:srgbClr val="808080"/>
              </a:solidFill>
            </a:rPr>
            <a:t>aaa</a:t>
          </a:r>
          <a:r>
            <a:rPr lang="en-US" sz="1100">
              <a:solidFill>
                <a:srgbClr val="808080"/>
              </a:solidFill>
            </a:rPr>
            <a:t>@gamta.lt</a:t>
          </a:r>
          <a:endParaRPr lang="lt-LT" sz="1100">
            <a:solidFill>
              <a:srgbClr val="808080"/>
            </a:solidFill>
          </a:endParaRPr>
        </a:p>
      </xdr:txBody>
    </xdr:sp>
    <xdr:clientData/>
  </xdr:twoCellAnchor>
  <xdr:twoCellAnchor>
    <xdr:from>
      <xdr:col>17</xdr:col>
      <xdr:colOff>188233</xdr:colOff>
      <xdr:row>4</xdr:row>
      <xdr:rowOff>48491</xdr:rowOff>
    </xdr:from>
    <xdr:to>
      <xdr:col>24</xdr:col>
      <xdr:colOff>473983</xdr:colOff>
      <xdr:row>15</xdr:row>
      <xdr:rowOff>115660</xdr:rowOff>
    </xdr:to>
    <xdr:graphicFrame macro="">
      <xdr:nvGraphicFramePr>
        <xdr:cNvPr id="14" name="Chart 13">
          <a:extLst>
            <a:ext uri="{FF2B5EF4-FFF2-40B4-BE49-F238E27FC236}">
              <a16:creationId xmlns:a16="http://schemas.microsoft.com/office/drawing/2014/main" id="{0012AD60-02C4-1C9C-016D-3F95B5041CAF}"/>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4"/>
        </a:graphicData>
      </a:graphic>
    </xdr:graphicFrame>
    <xdr:clientData/>
  </xdr:twoCellAnchor>
  <xdr:twoCellAnchor>
    <xdr:from>
      <xdr:col>17</xdr:col>
      <xdr:colOff>190500</xdr:colOff>
      <xdr:row>1</xdr:row>
      <xdr:rowOff>176893</xdr:rowOff>
    </xdr:from>
    <xdr:to>
      <xdr:col>24</xdr:col>
      <xdr:colOff>497416</xdr:colOff>
      <xdr:row>4</xdr:row>
      <xdr:rowOff>31750</xdr:rowOff>
    </xdr:to>
    <xdr:sp macro="" textlink="">
      <xdr:nvSpPr>
        <xdr:cNvPr id="15" name="Rectangle 14">
          <a:extLst>
            <a:ext uri="{FF2B5EF4-FFF2-40B4-BE49-F238E27FC236}">
              <a16:creationId xmlns:a16="http://schemas.microsoft.com/office/drawing/2014/main" id="{609DEACF-2BD9-8CCA-C121-81373325173F}"/>
            </a:ext>
          </a:extLst>
        </xdr:cNvPr>
        <xdr:cNvSpPr/>
      </xdr:nvSpPr>
      <xdr:spPr>
        <a:xfrm>
          <a:off x="12520083" y="367393"/>
          <a:ext cx="4603750" cy="436940"/>
        </a:xfrm>
        <a:prstGeom prst="rect">
          <a:avLst/>
        </a:prstGeom>
        <a:solidFill>
          <a:schemeClr val="accent5">
            <a:lumMod val="20000"/>
            <a:lumOff val="80000"/>
          </a:schemeClr>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ctr"/>
          <a:r>
            <a:rPr lang="lt-LT" sz="1100" b="1">
              <a:solidFill>
                <a:schemeClr val="bg2">
                  <a:lumMod val="50000"/>
                </a:schemeClr>
              </a:solidFill>
            </a:rPr>
            <a:t>GRAFIKAS</a:t>
          </a:r>
        </a:p>
        <a:p>
          <a:pPr algn="ctr"/>
          <a:r>
            <a:rPr lang="lt-LT" sz="1100" b="1">
              <a:solidFill>
                <a:schemeClr val="bg2">
                  <a:lumMod val="50000"/>
                </a:schemeClr>
              </a:solidFill>
            </a:rPr>
            <a:t>Kaupiamasis</a:t>
          </a:r>
          <a:r>
            <a:rPr lang="lt-LT" sz="1100" b="1" baseline="0">
              <a:solidFill>
                <a:schemeClr val="bg2">
                  <a:lumMod val="50000"/>
                </a:schemeClr>
              </a:solidFill>
            </a:rPr>
            <a:t> o</a:t>
          </a:r>
          <a:r>
            <a:rPr lang="en-US" sz="1100" b="1">
              <a:solidFill>
                <a:schemeClr val="bg2">
                  <a:lumMod val="50000"/>
                </a:schemeClr>
              </a:solidFill>
            </a:rPr>
            <a:t>ro ter</a:t>
          </a:r>
          <a:r>
            <a:rPr lang="lt-LT" sz="1100" b="1">
              <a:solidFill>
                <a:schemeClr val="bg2">
                  <a:lumMod val="50000"/>
                </a:schemeClr>
              </a:solidFill>
            </a:rPr>
            <a:t>šalų</a:t>
          </a:r>
          <a:r>
            <a:rPr lang="lt-LT" sz="1100" b="1" baseline="0">
              <a:solidFill>
                <a:schemeClr val="bg2">
                  <a:lumMod val="50000"/>
                </a:schemeClr>
              </a:solidFill>
            </a:rPr>
            <a:t> sumažinimas</a:t>
          </a:r>
          <a:endParaRPr lang="lt-LT" sz="1100" b="1">
            <a:solidFill>
              <a:schemeClr val="bg2">
                <a:lumMod val="50000"/>
              </a:schemeClr>
            </a:solidFill>
          </a:endParaRPr>
        </a:p>
      </xdr:txBody>
    </xdr:sp>
    <xdr:clientData/>
  </xdr:twoCellAnchor>
  <xdr:twoCellAnchor>
    <xdr:from>
      <xdr:col>17</xdr:col>
      <xdr:colOff>40820</xdr:colOff>
      <xdr:row>1</xdr:row>
      <xdr:rowOff>1</xdr:rowOff>
    </xdr:from>
    <xdr:to>
      <xdr:col>25</xdr:col>
      <xdr:colOff>27214</xdr:colOff>
      <xdr:row>16</xdr:row>
      <xdr:rowOff>1</xdr:rowOff>
    </xdr:to>
    <xdr:sp macro="" textlink="">
      <xdr:nvSpPr>
        <xdr:cNvPr id="16" name="Stačiakampis 22">
          <a:extLst>
            <a:ext uri="{FF2B5EF4-FFF2-40B4-BE49-F238E27FC236}">
              <a16:creationId xmlns:a16="http://schemas.microsoft.com/office/drawing/2014/main" id="{7A38DE72-A143-4058-B7AF-8B97063E5FB2}"/>
            </a:ext>
          </a:extLst>
        </xdr:cNvPr>
        <xdr:cNvSpPr/>
      </xdr:nvSpPr>
      <xdr:spPr>
        <a:xfrm>
          <a:off x="12409713" y="190501"/>
          <a:ext cx="4884965" cy="4340679"/>
        </a:xfrm>
        <a:prstGeom prst="rect">
          <a:avLst/>
        </a:prstGeom>
        <a:noFill/>
        <a:ln>
          <a:solidFill>
            <a:sysClr val="windowText" lastClr="00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lt-LT" sz="1100"/>
        </a:p>
      </xdr:txBody>
    </xdr:sp>
    <xdr:clientData/>
  </xdr:twoCellAnchor>
  <xdr:twoCellAnchor>
    <xdr:from>
      <xdr:col>5</xdr:col>
      <xdr:colOff>13606</xdr:colOff>
      <xdr:row>201</xdr:row>
      <xdr:rowOff>149679</xdr:rowOff>
    </xdr:from>
    <xdr:to>
      <xdr:col>6</xdr:col>
      <xdr:colOff>68035</xdr:colOff>
      <xdr:row>203</xdr:row>
      <xdr:rowOff>13607</xdr:rowOff>
    </xdr:to>
    <xdr:sp macro="" textlink="">
      <xdr:nvSpPr>
        <xdr:cNvPr id="17" name="Rectangle 16">
          <a:extLst>
            <a:ext uri="{FF2B5EF4-FFF2-40B4-BE49-F238E27FC236}">
              <a16:creationId xmlns:a16="http://schemas.microsoft.com/office/drawing/2014/main" id="{5CF5CA76-532A-6435-10F0-7AC2C22ADAA0}"/>
            </a:ext>
          </a:extLst>
        </xdr:cNvPr>
        <xdr:cNvSpPr/>
      </xdr:nvSpPr>
      <xdr:spPr>
        <a:xfrm>
          <a:off x="2639785" y="5048250"/>
          <a:ext cx="666750" cy="244928"/>
        </a:xfrm>
        <a:prstGeom prst="rect">
          <a:avLst/>
        </a:prstGeom>
        <a:solidFill>
          <a:schemeClr val="accent5">
            <a:lumMod val="40000"/>
            <a:lumOff val="60000"/>
          </a:schemeClr>
        </a:solidFill>
        <a:ln>
          <a:solidFill>
            <a:srgbClr val="C0C0C0"/>
          </a:solidFill>
          <a:prstDash val="sysDash"/>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lt-LT" sz="1100"/>
        </a:p>
      </xdr:txBody>
    </xdr:sp>
    <xdr:clientData/>
  </xdr:twoCellAnchor>
  <xdr:twoCellAnchor>
    <xdr:from>
      <xdr:col>5</xdr:col>
      <xdr:colOff>13605</xdr:colOff>
      <xdr:row>203</xdr:row>
      <xdr:rowOff>122465</xdr:rowOff>
    </xdr:from>
    <xdr:to>
      <xdr:col>6</xdr:col>
      <xdr:colOff>68035</xdr:colOff>
      <xdr:row>204</xdr:row>
      <xdr:rowOff>176893</xdr:rowOff>
    </xdr:to>
    <xdr:sp macro="" textlink="">
      <xdr:nvSpPr>
        <xdr:cNvPr id="18" name="Rectangle 17">
          <a:extLst>
            <a:ext uri="{FF2B5EF4-FFF2-40B4-BE49-F238E27FC236}">
              <a16:creationId xmlns:a16="http://schemas.microsoft.com/office/drawing/2014/main" id="{B0F2A53F-9034-7542-9096-34B50089C2F8}"/>
            </a:ext>
          </a:extLst>
        </xdr:cNvPr>
        <xdr:cNvSpPr/>
      </xdr:nvSpPr>
      <xdr:spPr>
        <a:xfrm>
          <a:off x="2639784" y="5402036"/>
          <a:ext cx="666751" cy="244928"/>
        </a:xfrm>
        <a:prstGeom prst="rect">
          <a:avLst/>
        </a:prstGeom>
        <a:solidFill>
          <a:schemeClr val="tx1">
            <a:lumMod val="60000"/>
            <a:lumOff val="40000"/>
          </a:schemeClr>
        </a:solidFill>
        <a:ln>
          <a:solidFill>
            <a:srgbClr val="C0C0C0"/>
          </a:solidFill>
          <a:prstDash val="sysDash"/>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lt-LT" sz="1100"/>
        </a:p>
      </xdr:txBody>
    </xdr:sp>
    <xdr:clientData/>
  </xdr:twoCellAnchor>
  <xdr:oneCellAnchor>
    <xdr:from>
      <xdr:col>6</xdr:col>
      <xdr:colOff>108857</xdr:colOff>
      <xdr:row>201</xdr:row>
      <xdr:rowOff>149680</xdr:rowOff>
    </xdr:from>
    <xdr:ext cx="2027464" cy="264560"/>
    <xdr:sp macro="" textlink="">
      <xdr:nvSpPr>
        <xdr:cNvPr id="19" name="TextBox 18">
          <a:extLst>
            <a:ext uri="{FF2B5EF4-FFF2-40B4-BE49-F238E27FC236}">
              <a16:creationId xmlns:a16="http://schemas.microsoft.com/office/drawing/2014/main" id="{A18AAFCA-C971-BB8E-799E-BB820E038388}"/>
            </a:ext>
          </a:extLst>
        </xdr:cNvPr>
        <xdr:cNvSpPr txBox="1"/>
      </xdr:nvSpPr>
      <xdr:spPr>
        <a:xfrm>
          <a:off x="3347357" y="5048251"/>
          <a:ext cx="2027464"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lang="lt-LT" sz="1100" baseline="0">
              <a:solidFill>
                <a:schemeClr val="bg2">
                  <a:lumMod val="50000"/>
                </a:schemeClr>
              </a:solidFill>
            </a:rPr>
            <a:t>pasirinkimo langelis vartotojui;</a:t>
          </a:r>
          <a:endParaRPr lang="lt-LT" sz="1100">
            <a:solidFill>
              <a:schemeClr val="bg2">
                <a:lumMod val="50000"/>
              </a:schemeClr>
            </a:solidFill>
          </a:endParaRPr>
        </a:p>
      </xdr:txBody>
    </xdr:sp>
    <xdr:clientData/>
  </xdr:oneCellAnchor>
  <xdr:oneCellAnchor>
    <xdr:from>
      <xdr:col>6</xdr:col>
      <xdr:colOff>84365</xdr:colOff>
      <xdr:row>203</xdr:row>
      <xdr:rowOff>122465</xdr:rowOff>
    </xdr:from>
    <xdr:ext cx="2027464" cy="264560"/>
    <xdr:sp macro="" textlink="">
      <xdr:nvSpPr>
        <xdr:cNvPr id="20" name="TextBox 19">
          <a:extLst>
            <a:ext uri="{FF2B5EF4-FFF2-40B4-BE49-F238E27FC236}">
              <a16:creationId xmlns:a16="http://schemas.microsoft.com/office/drawing/2014/main" id="{BA02AAFA-DA95-44A6-8F57-046E7C08D55C}"/>
            </a:ext>
          </a:extLst>
        </xdr:cNvPr>
        <xdr:cNvSpPr txBox="1"/>
      </xdr:nvSpPr>
      <xdr:spPr>
        <a:xfrm>
          <a:off x="3322865" y="5402036"/>
          <a:ext cx="2027464"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lang="lt-LT" sz="1100" baseline="0">
              <a:solidFill>
                <a:schemeClr val="bg2">
                  <a:lumMod val="50000"/>
                </a:schemeClr>
              </a:solidFill>
            </a:rPr>
            <a:t>įvesties langelis vartotojui.</a:t>
          </a:r>
          <a:endParaRPr lang="lt-LT" sz="1100">
            <a:solidFill>
              <a:schemeClr val="bg2">
                <a:lumMod val="50000"/>
              </a:schemeClr>
            </a:solidFill>
          </a:endParaRPr>
        </a:p>
      </xdr:txBody>
    </xdr:sp>
    <xdr:clientData/>
  </xdr:oneCellAnchor>
  <xdr:oneCellAnchor>
    <xdr:from>
      <xdr:col>4</xdr:col>
      <xdr:colOff>95250</xdr:colOff>
      <xdr:row>205</xdr:row>
      <xdr:rowOff>68036</xdr:rowOff>
    </xdr:from>
    <xdr:ext cx="9620250" cy="264560"/>
    <xdr:sp macro="" textlink="">
      <xdr:nvSpPr>
        <xdr:cNvPr id="21" name="TextBox 20">
          <a:extLst>
            <a:ext uri="{FF2B5EF4-FFF2-40B4-BE49-F238E27FC236}">
              <a16:creationId xmlns:a16="http://schemas.microsoft.com/office/drawing/2014/main" id="{54A12EF0-FDFF-F35C-D92C-2F0D748DA49B}"/>
            </a:ext>
          </a:extLst>
        </xdr:cNvPr>
        <xdr:cNvSpPr txBox="1"/>
      </xdr:nvSpPr>
      <xdr:spPr>
        <a:xfrm>
          <a:off x="2544536" y="5728607"/>
          <a:ext cx="9620250"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lang="lt-LT" sz="1100">
              <a:solidFill>
                <a:schemeClr val="bg2">
                  <a:lumMod val="50000"/>
                </a:schemeClr>
              </a:solidFill>
            </a:rPr>
            <a:t>Emisijų</a:t>
          </a:r>
          <a:r>
            <a:rPr lang="lt-LT" sz="1100" baseline="0">
              <a:solidFill>
                <a:schemeClr val="bg2">
                  <a:lumMod val="50000"/>
                </a:schemeClr>
              </a:solidFill>
            </a:rPr>
            <a:t> standartas - atitinkančių transporto priemonių išmetamų teršalų standartai.</a:t>
          </a:r>
          <a:endParaRPr lang="lt-LT" sz="1100">
            <a:solidFill>
              <a:schemeClr val="bg2">
                <a:lumMod val="50000"/>
              </a:schemeClr>
            </a:solidFill>
          </a:endParaRPr>
        </a:p>
      </xdr:txBody>
    </xdr:sp>
    <xdr:clientData/>
  </xdr:oneCellAnchor>
  <xdr:oneCellAnchor>
    <xdr:from>
      <xdr:col>4</xdr:col>
      <xdr:colOff>122464</xdr:colOff>
      <xdr:row>16</xdr:row>
      <xdr:rowOff>149678</xdr:rowOff>
    </xdr:from>
    <xdr:ext cx="9593035" cy="264560"/>
    <xdr:sp macro="" textlink="">
      <xdr:nvSpPr>
        <xdr:cNvPr id="22" name="TextBox 21">
          <a:extLst>
            <a:ext uri="{FF2B5EF4-FFF2-40B4-BE49-F238E27FC236}">
              <a16:creationId xmlns:a16="http://schemas.microsoft.com/office/drawing/2014/main" id="{974829EA-5597-E84C-1E8C-0A6942D52C34}"/>
            </a:ext>
          </a:extLst>
        </xdr:cNvPr>
        <xdr:cNvSpPr txBox="1"/>
      </xdr:nvSpPr>
      <xdr:spPr>
        <a:xfrm>
          <a:off x="2571750" y="4680857"/>
          <a:ext cx="9593035"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lang="lt-LT" sz="1100" b="1">
              <a:solidFill>
                <a:schemeClr val="bg2">
                  <a:lumMod val="50000"/>
                </a:schemeClr>
              </a:solidFill>
            </a:rPr>
            <a:t>Žymėjimai:</a:t>
          </a:r>
        </a:p>
      </xdr:txBody>
    </xdr:sp>
    <xdr:clientData/>
  </xdr:oneCellAnchor>
  <xdr:twoCellAnchor editAs="oneCell">
    <xdr:from>
      <xdr:col>0</xdr:col>
      <xdr:colOff>353786</xdr:colOff>
      <xdr:row>8</xdr:row>
      <xdr:rowOff>0</xdr:rowOff>
    </xdr:from>
    <xdr:to>
      <xdr:col>2</xdr:col>
      <xdr:colOff>601890</xdr:colOff>
      <xdr:row>10</xdr:row>
      <xdr:rowOff>163258</xdr:rowOff>
    </xdr:to>
    <xdr:pic>
      <xdr:nvPicPr>
        <xdr:cNvPr id="10" name="Picture 9">
          <a:hlinkClick xmlns:r="http://schemas.openxmlformats.org/officeDocument/2006/relationships" r:id="rId15"/>
          <a:extLst>
            <a:ext uri="{FF2B5EF4-FFF2-40B4-BE49-F238E27FC236}">
              <a16:creationId xmlns:a16="http://schemas.microsoft.com/office/drawing/2014/main" id="{61DE37D9-3D4A-4198-A26C-6D5CC309499C}"/>
            </a:ext>
          </a:extLst>
        </xdr:cNvPr>
        <xdr:cNvPicPr>
          <a:picLocks noChangeAspect="1"/>
        </xdr:cNvPicPr>
      </xdr:nvPicPr>
      <xdr:blipFill>
        <a:blip xmlns:r="http://schemas.openxmlformats.org/officeDocument/2006/relationships" r:embed="rId16">
          <a:duotone>
            <a:schemeClr val="accent4">
              <a:shade val="45000"/>
              <a:satMod val="135000"/>
            </a:schemeClr>
            <a:prstClr val="white"/>
          </a:duotone>
          <a:extLst>
            <a:ext uri="{BEBA8EAE-BF5A-486C-A8C5-ECC9F3942E4B}">
              <a14:imgProps xmlns:a14="http://schemas.microsoft.com/office/drawing/2010/main">
                <a14:imgLayer r:embed="rId17">
                  <a14:imgEffect>
                    <a14:colorTemperature colorTemp="4700"/>
                  </a14:imgEffect>
                  <a14:imgEffect>
                    <a14:saturation sat="0"/>
                  </a14:imgEffect>
                </a14:imgLayer>
              </a14:imgProps>
            </a:ext>
          </a:extLst>
        </a:blip>
        <a:stretch>
          <a:fillRect/>
        </a:stretch>
      </xdr:blipFill>
      <xdr:spPr>
        <a:xfrm>
          <a:off x="353786" y="2530929"/>
          <a:ext cx="1469572" cy="731583"/>
        </a:xfrm>
        <a:prstGeom prst="rect">
          <a:avLst/>
        </a:prstGeom>
      </xdr:spPr>
    </xdr:pic>
    <xdr:clientData/>
  </xdr:twoCellAnchor>
  <xdr:twoCellAnchor editAs="oneCell">
    <xdr:from>
      <xdr:col>0</xdr:col>
      <xdr:colOff>353786</xdr:colOff>
      <xdr:row>11</xdr:row>
      <xdr:rowOff>190499</xdr:rowOff>
    </xdr:from>
    <xdr:to>
      <xdr:col>3</xdr:col>
      <xdr:colOff>16568</xdr:colOff>
      <xdr:row>14</xdr:row>
      <xdr:rowOff>180133</xdr:rowOff>
    </xdr:to>
    <xdr:pic>
      <xdr:nvPicPr>
        <xdr:cNvPr id="23" name="Picture 22">
          <a:extLst>
            <a:ext uri="{FF2B5EF4-FFF2-40B4-BE49-F238E27FC236}">
              <a16:creationId xmlns:a16="http://schemas.microsoft.com/office/drawing/2014/main" id="{78860406-061F-4C42-9909-2621068EF378}"/>
            </a:ext>
          </a:extLst>
        </xdr:cNvPr>
        <xdr:cNvPicPr>
          <a:picLocks noChangeAspect="1"/>
        </xdr:cNvPicPr>
      </xdr:nvPicPr>
      <xdr:blipFill>
        <a:blip xmlns:r="http://schemas.openxmlformats.org/officeDocument/2006/relationships" r:embed="rId18">
          <a:extLst>
            <a:ext uri="{BEBA8EAE-BF5A-486C-A8C5-ECC9F3942E4B}">
              <a14:imgProps xmlns:a14="http://schemas.microsoft.com/office/drawing/2010/main">
                <a14:imgLayer r:embed="rId19">
                  <a14:imgEffect>
                    <a14:colorTemperature colorTemp="5900"/>
                  </a14:imgEffect>
                  <a14:imgEffect>
                    <a14:saturation sat="66000"/>
                  </a14:imgEffect>
                </a14:imgLayer>
              </a14:imgProps>
            </a:ext>
          </a:extLst>
        </a:blip>
        <a:stretch>
          <a:fillRect/>
        </a:stretch>
      </xdr:blipFill>
      <xdr:spPr>
        <a:xfrm>
          <a:off x="353786" y="3497035"/>
          <a:ext cx="1499746" cy="762066"/>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xdr:from>
      <xdr:col>0</xdr:col>
      <xdr:colOff>176893</xdr:colOff>
      <xdr:row>0</xdr:row>
      <xdr:rowOff>149677</xdr:rowOff>
    </xdr:from>
    <xdr:to>
      <xdr:col>3</xdr:col>
      <xdr:colOff>147129</xdr:colOff>
      <xdr:row>96</xdr:row>
      <xdr:rowOff>36285</xdr:rowOff>
    </xdr:to>
    <xdr:sp macro="" textlink="">
      <xdr:nvSpPr>
        <xdr:cNvPr id="5" name="Stačiakampis: suapvalinti kampai 4">
          <a:extLst>
            <a:ext uri="{FF2B5EF4-FFF2-40B4-BE49-F238E27FC236}">
              <a16:creationId xmlns:a16="http://schemas.microsoft.com/office/drawing/2014/main" id="{0729AA5B-16EC-45C7-8280-328DB497893D}"/>
            </a:ext>
          </a:extLst>
        </xdr:cNvPr>
        <xdr:cNvSpPr/>
      </xdr:nvSpPr>
      <xdr:spPr>
        <a:xfrm>
          <a:off x="176893" y="149677"/>
          <a:ext cx="1902450" cy="17303751"/>
        </a:xfrm>
        <a:prstGeom prst="roundRect">
          <a:avLst>
            <a:gd name="adj" fmla="val 4546"/>
          </a:avLst>
        </a:prstGeom>
        <a:solidFill>
          <a:schemeClr val="accent5">
            <a:lumMod val="40000"/>
            <a:lumOff val="60000"/>
          </a:schemeClr>
        </a:solidFill>
        <a:ln>
          <a:solidFill>
            <a:schemeClr val="bg1">
              <a:lumMod val="20000"/>
              <a:lumOff val="80000"/>
            </a:schemeClr>
          </a:solidFill>
        </a:ln>
        <a:effectLst>
          <a:outerShdw blurRad="50800" dist="38100" dir="5400000" algn="t" rotWithShape="0">
            <a:prstClr val="black">
              <a:alpha val="40000"/>
            </a:prstClr>
          </a:outerShdw>
        </a:effectLst>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lt-LT" sz="1100"/>
        </a:p>
      </xdr:txBody>
    </xdr:sp>
    <xdr:clientData/>
  </xdr:twoCellAnchor>
  <xdr:twoCellAnchor>
    <xdr:from>
      <xdr:col>1</xdr:col>
      <xdr:colOff>191877</xdr:colOff>
      <xdr:row>29</xdr:row>
      <xdr:rowOff>30089</xdr:rowOff>
    </xdr:from>
    <xdr:to>
      <xdr:col>2</xdr:col>
      <xdr:colOff>100098</xdr:colOff>
      <xdr:row>31</xdr:row>
      <xdr:rowOff>79065</xdr:rowOff>
    </xdr:to>
    <xdr:pic>
      <xdr:nvPicPr>
        <xdr:cNvPr id="6" name="Grafinis elementas 10" descr="Envelope outline">
          <a:extLst>
            <a:ext uri="{FF2B5EF4-FFF2-40B4-BE49-F238E27FC236}">
              <a16:creationId xmlns:a16="http://schemas.microsoft.com/office/drawing/2014/main" id="{ADA8DD4E-1E0D-468D-A006-20053A712B03}"/>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 uri="{96DAC541-7B7A-43D3-8B79-37D633B846F1}">
              <asvg:svgBlip xmlns:asvg="http://schemas.microsoft.com/office/drawing/2016/SVG/main" r:embed="rId2"/>
            </a:ext>
          </a:extLst>
        </a:blip>
        <a:stretch>
          <a:fillRect/>
        </a:stretch>
      </xdr:blipFill>
      <xdr:spPr>
        <a:xfrm>
          <a:off x="804198" y="5554589"/>
          <a:ext cx="520543" cy="429976"/>
        </a:xfrm>
        <a:prstGeom prst="rect">
          <a:avLst/>
        </a:prstGeom>
      </xdr:spPr>
    </xdr:pic>
    <xdr:clientData/>
  </xdr:twoCellAnchor>
  <xdr:twoCellAnchor>
    <xdr:from>
      <xdr:col>0</xdr:col>
      <xdr:colOff>586398</xdr:colOff>
      <xdr:row>31</xdr:row>
      <xdr:rowOff>118319</xdr:rowOff>
    </xdr:from>
    <xdr:to>
      <xdr:col>3</xdr:col>
      <xdr:colOff>124258</xdr:colOff>
      <xdr:row>33</xdr:row>
      <xdr:rowOff>3203</xdr:rowOff>
    </xdr:to>
    <xdr:sp macro="" textlink="">
      <xdr:nvSpPr>
        <xdr:cNvPr id="7" name="TextBox 6">
          <a:extLst>
            <a:ext uri="{FF2B5EF4-FFF2-40B4-BE49-F238E27FC236}">
              <a16:creationId xmlns:a16="http://schemas.microsoft.com/office/drawing/2014/main" id="{E0C91E11-EAC5-494D-B752-270C2797E567}"/>
            </a:ext>
          </a:extLst>
        </xdr:cNvPr>
        <xdr:cNvSpPr txBox="1"/>
      </xdr:nvSpPr>
      <xdr:spPr>
        <a:xfrm>
          <a:off x="586398" y="6023819"/>
          <a:ext cx="1374824" cy="26588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lt-LT" sz="1100">
              <a:solidFill>
                <a:srgbClr val="808080"/>
              </a:solidFill>
            </a:rPr>
            <a:t>aaa</a:t>
          </a:r>
          <a:r>
            <a:rPr lang="en-US" sz="1100">
              <a:solidFill>
                <a:srgbClr val="808080"/>
              </a:solidFill>
            </a:rPr>
            <a:t>@gamta.lt</a:t>
          </a:r>
          <a:endParaRPr lang="lt-LT" sz="1100">
            <a:solidFill>
              <a:srgbClr val="808080"/>
            </a:solidFill>
          </a:endParaRPr>
        </a:p>
      </xdr:txBody>
    </xdr:sp>
    <xdr:clientData/>
  </xdr:twoCellAnchor>
  <xdr:twoCellAnchor>
    <xdr:from>
      <xdr:col>1</xdr:col>
      <xdr:colOff>270466</xdr:colOff>
      <xdr:row>35</xdr:row>
      <xdr:rowOff>48413</xdr:rowOff>
    </xdr:from>
    <xdr:to>
      <xdr:col>2</xdr:col>
      <xdr:colOff>29766</xdr:colOff>
      <xdr:row>37</xdr:row>
      <xdr:rowOff>42876</xdr:rowOff>
    </xdr:to>
    <xdr:pic>
      <xdr:nvPicPr>
        <xdr:cNvPr id="8" name="Grafinis elementas 12" descr="Receiver outline">
          <a:extLst>
            <a:ext uri="{FF2B5EF4-FFF2-40B4-BE49-F238E27FC236}">
              <a16:creationId xmlns:a16="http://schemas.microsoft.com/office/drawing/2014/main" id="{A675F470-736E-40BC-9944-FD7C5588D283}"/>
            </a:ext>
          </a:extLst>
        </xdr:cNvPr>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 uri="{96DAC541-7B7A-43D3-8B79-37D633B846F1}">
              <asvg:svgBlip xmlns:asvg="http://schemas.microsoft.com/office/drawing/2016/SVG/main" r:embed="rId4"/>
            </a:ext>
          </a:extLst>
        </a:blip>
        <a:stretch>
          <a:fillRect/>
        </a:stretch>
      </xdr:blipFill>
      <xdr:spPr>
        <a:xfrm>
          <a:off x="882787" y="6715913"/>
          <a:ext cx="371622" cy="375463"/>
        </a:xfrm>
        <a:prstGeom prst="rect">
          <a:avLst/>
        </a:prstGeom>
      </xdr:spPr>
    </xdr:pic>
    <xdr:clientData/>
  </xdr:twoCellAnchor>
  <xdr:twoCellAnchor>
    <xdr:from>
      <xdr:col>0</xdr:col>
      <xdr:colOff>498848</xdr:colOff>
      <xdr:row>37</xdr:row>
      <xdr:rowOff>166445</xdr:rowOff>
    </xdr:from>
    <xdr:to>
      <xdr:col>3</xdr:col>
      <xdr:colOff>30459</xdr:colOff>
      <xdr:row>39</xdr:row>
      <xdr:rowOff>40799</xdr:rowOff>
    </xdr:to>
    <xdr:sp macro="" textlink="">
      <xdr:nvSpPr>
        <xdr:cNvPr id="10" name="TextBox 9">
          <a:extLst>
            <a:ext uri="{FF2B5EF4-FFF2-40B4-BE49-F238E27FC236}">
              <a16:creationId xmlns:a16="http://schemas.microsoft.com/office/drawing/2014/main" id="{FCDAC2BB-1565-4E25-A0FE-2D721206EA5B}"/>
            </a:ext>
          </a:extLst>
        </xdr:cNvPr>
        <xdr:cNvSpPr txBox="1"/>
      </xdr:nvSpPr>
      <xdr:spPr>
        <a:xfrm>
          <a:off x="498848" y="7214945"/>
          <a:ext cx="1368575" cy="25535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lt-LT">
              <a:solidFill>
                <a:srgbClr val="808080"/>
              </a:solidFill>
            </a:rPr>
            <a:t>+370 682 92 653</a:t>
          </a:r>
          <a:endParaRPr lang="lt-LT" sz="1100">
            <a:solidFill>
              <a:srgbClr val="808080"/>
            </a:solidFill>
          </a:endParaRPr>
        </a:p>
      </xdr:txBody>
    </xdr:sp>
    <xdr:clientData/>
  </xdr:twoCellAnchor>
  <xdr:twoCellAnchor>
    <xdr:from>
      <xdr:col>0</xdr:col>
      <xdr:colOff>373078</xdr:colOff>
      <xdr:row>2</xdr:row>
      <xdr:rowOff>28603</xdr:rowOff>
    </xdr:from>
    <xdr:to>
      <xdr:col>2</xdr:col>
      <xdr:colOff>521988</xdr:colOff>
      <xdr:row>5</xdr:row>
      <xdr:rowOff>54093</xdr:rowOff>
    </xdr:to>
    <xdr:pic>
      <xdr:nvPicPr>
        <xdr:cNvPr id="13" name="Paveikslėlis 2">
          <a:extLst>
            <a:ext uri="{FF2B5EF4-FFF2-40B4-BE49-F238E27FC236}">
              <a16:creationId xmlns:a16="http://schemas.microsoft.com/office/drawing/2014/main" id="{62AB3FD8-E1C5-4D59-B729-5E63FE0E6D34}"/>
            </a:ext>
            <a:ext uri="{147F2762-F138-4A5C-976F-8EAC2B608ADB}">
              <a16:predDERef xmlns:a16="http://schemas.microsoft.com/office/drawing/2014/main" pred="{46023FA3-9223-450D-88ED-40320E00CA58}"/>
            </a:ext>
          </a:extLst>
        </xdr:cNvPr>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373078" y="409603"/>
          <a:ext cx="1373553" cy="596990"/>
        </a:xfrm>
        <a:prstGeom prst="rect">
          <a:avLst/>
        </a:prstGeom>
      </xdr:spPr>
    </xdr:pic>
    <xdr:clientData/>
  </xdr:twoCellAnchor>
  <xdr:twoCellAnchor>
    <xdr:from>
      <xdr:col>0</xdr:col>
      <xdr:colOff>359471</xdr:colOff>
      <xdr:row>18</xdr:row>
      <xdr:rowOff>110243</xdr:rowOff>
    </xdr:from>
    <xdr:to>
      <xdr:col>3</xdr:col>
      <xdr:colOff>4323</xdr:colOff>
      <xdr:row>22</xdr:row>
      <xdr:rowOff>83028</xdr:rowOff>
    </xdr:to>
    <xdr:pic>
      <xdr:nvPicPr>
        <xdr:cNvPr id="14" name="Picture 31">
          <a:hlinkClick xmlns:r="http://schemas.openxmlformats.org/officeDocument/2006/relationships" r:id="rId6"/>
          <a:extLst>
            <a:ext uri="{FF2B5EF4-FFF2-40B4-BE49-F238E27FC236}">
              <a16:creationId xmlns:a16="http://schemas.microsoft.com/office/drawing/2014/main" id="{2A466B94-212D-4BB5-BCF5-FE86FECB40A5}"/>
            </a:ext>
          </a:extLst>
        </xdr:cNvPr>
        <xdr:cNvPicPr>
          <a:picLocks noChangeAspect="1"/>
        </xdr:cNvPicPr>
      </xdr:nvPicPr>
      <xdr:blipFill>
        <a:blip xmlns:r="http://schemas.openxmlformats.org/officeDocument/2006/relationships" r:embed="rId7">
          <a:duotone>
            <a:schemeClr val="accent4">
              <a:shade val="45000"/>
              <a:satMod val="135000"/>
            </a:schemeClr>
            <a:prstClr val="white"/>
          </a:duotone>
        </a:blip>
        <a:stretch>
          <a:fillRect/>
        </a:stretch>
      </xdr:blipFill>
      <xdr:spPr>
        <a:xfrm>
          <a:off x="359471" y="3539243"/>
          <a:ext cx="1481816" cy="734785"/>
        </a:xfrm>
        <a:prstGeom prst="rect">
          <a:avLst/>
        </a:prstGeom>
      </xdr:spPr>
    </xdr:pic>
    <xdr:clientData/>
  </xdr:twoCellAnchor>
  <xdr:twoCellAnchor>
    <xdr:from>
      <xdr:col>0</xdr:col>
      <xdr:colOff>340179</xdr:colOff>
      <xdr:row>23</xdr:row>
      <xdr:rowOff>96638</xdr:rowOff>
    </xdr:from>
    <xdr:to>
      <xdr:col>3</xdr:col>
      <xdr:colOff>0</xdr:colOff>
      <xdr:row>27</xdr:row>
      <xdr:rowOff>96137</xdr:rowOff>
    </xdr:to>
    <xdr:pic>
      <xdr:nvPicPr>
        <xdr:cNvPr id="15" name="Picture 72">
          <a:hlinkClick xmlns:r="http://schemas.openxmlformats.org/officeDocument/2006/relationships" r:id="rId8"/>
          <a:extLst>
            <a:ext uri="{FF2B5EF4-FFF2-40B4-BE49-F238E27FC236}">
              <a16:creationId xmlns:a16="http://schemas.microsoft.com/office/drawing/2014/main" id="{618C1EAC-2496-4A0B-B913-353C679D15BC}"/>
            </a:ext>
          </a:extLst>
        </xdr:cNvPr>
        <xdr:cNvPicPr>
          <a:picLocks noChangeAspect="1"/>
        </xdr:cNvPicPr>
      </xdr:nvPicPr>
      <xdr:blipFill>
        <a:blip xmlns:r="http://schemas.openxmlformats.org/officeDocument/2006/relationships" r:embed="rId9">
          <a:duotone>
            <a:schemeClr val="accent4">
              <a:shade val="45000"/>
              <a:satMod val="135000"/>
            </a:schemeClr>
            <a:prstClr val="white"/>
          </a:duotone>
        </a:blip>
        <a:stretch>
          <a:fillRect/>
        </a:stretch>
      </xdr:blipFill>
      <xdr:spPr>
        <a:xfrm>
          <a:off x="340179" y="4478138"/>
          <a:ext cx="1496785" cy="761499"/>
        </a:xfrm>
        <a:prstGeom prst="rect">
          <a:avLst/>
        </a:prstGeom>
      </xdr:spPr>
    </xdr:pic>
    <xdr:clientData/>
  </xdr:twoCellAnchor>
  <xdr:twoCellAnchor>
    <xdr:from>
      <xdr:col>0</xdr:col>
      <xdr:colOff>340178</xdr:colOff>
      <xdr:row>8</xdr:row>
      <xdr:rowOff>0</xdr:rowOff>
    </xdr:from>
    <xdr:to>
      <xdr:col>2</xdr:col>
      <xdr:colOff>594779</xdr:colOff>
      <xdr:row>11</xdr:row>
      <xdr:rowOff>144577</xdr:rowOff>
    </xdr:to>
    <xdr:pic>
      <xdr:nvPicPr>
        <xdr:cNvPr id="18" name="Picture 69">
          <a:hlinkClick xmlns:r="http://schemas.openxmlformats.org/officeDocument/2006/relationships" r:id="rId10"/>
          <a:extLst>
            <a:ext uri="{FF2B5EF4-FFF2-40B4-BE49-F238E27FC236}">
              <a16:creationId xmlns:a16="http://schemas.microsoft.com/office/drawing/2014/main" id="{7170EC58-879C-44D8-A1D0-D043CD68FEBA}"/>
            </a:ext>
          </a:extLst>
        </xdr:cNvPr>
        <xdr:cNvPicPr>
          <a:picLocks noChangeAspect="1"/>
        </xdr:cNvPicPr>
      </xdr:nvPicPr>
      <xdr:blipFill>
        <a:blip xmlns:r="http://schemas.openxmlformats.org/officeDocument/2006/relationships" r:embed="rId11">
          <a:duotone>
            <a:schemeClr val="accent4">
              <a:shade val="45000"/>
              <a:satMod val="135000"/>
            </a:schemeClr>
            <a:prstClr val="white"/>
          </a:duotone>
        </a:blip>
        <a:stretch>
          <a:fillRect/>
        </a:stretch>
      </xdr:blipFill>
      <xdr:spPr>
        <a:xfrm>
          <a:off x="340178" y="1524000"/>
          <a:ext cx="1479244" cy="716077"/>
        </a:xfrm>
        <a:prstGeom prst="rect">
          <a:avLst/>
        </a:prstGeom>
      </xdr:spPr>
    </xdr:pic>
    <xdr:clientData/>
  </xdr:twoCellAnchor>
  <xdr:twoCellAnchor editAs="oneCell">
    <xdr:from>
      <xdr:col>0</xdr:col>
      <xdr:colOff>340179</xdr:colOff>
      <xdr:row>13</xdr:row>
      <xdr:rowOff>13607</xdr:rowOff>
    </xdr:from>
    <xdr:to>
      <xdr:col>2</xdr:col>
      <xdr:colOff>609185</xdr:colOff>
      <xdr:row>17</xdr:row>
      <xdr:rowOff>13673</xdr:rowOff>
    </xdr:to>
    <xdr:pic>
      <xdr:nvPicPr>
        <xdr:cNvPr id="21" name="Picture 20">
          <a:extLst>
            <a:ext uri="{FF2B5EF4-FFF2-40B4-BE49-F238E27FC236}">
              <a16:creationId xmlns:a16="http://schemas.microsoft.com/office/drawing/2014/main" id="{FFE546FD-DC3D-4437-A4FA-8AB5037DD1D9}"/>
            </a:ext>
          </a:extLst>
        </xdr:cNvPr>
        <xdr:cNvPicPr>
          <a:picLocks noChangeAspect="1"/>
        </xdr:cNvPicPr>
      </xdr:nvPicPr>
      <xdr:blipFill>
        <a:blip xmlns:r="http://schemas.openxmlformats.org/officeDocument/2006/relationships" r:embed="rId12">
          <a:extLst>
            <a:ext uri="{BEBA8EAE-BF5A-486C-A8C5-ECC9F3942E4B}">
              <a14:imgProps xmlns:a14="http://schemas.microsoft.com/office/drawing/2010/main">
                <a14:imgLayer r:embed="rId13">
                  <a14:imgEffect>
                    <a14:colorTemperature colorTemp="5900"/>
                  </a14:imgEffect>
                  <a14:imgEffect>
                    <a14:saturation sat="66000"/>
                  </a14:imgEffect>
                </a14:imgLayer>
              </a14:imgProps>
            </a:ext>
          </a:extLst>
        </a:blip>
        <a:stretch>
          <a:fillRect/>
        </a:stretch>
      </xdr:blipFill>
      <xdr:spPr>
        <a:xfrm>
          <a:off x="340179" y="2490107"/>
          <a:ext cx="1493649" cy="762066"/>
        </a:xfrm>
        <a:prstGeom prst="rect">
          <a:avLst/>
        </a:prstGeom>
      </xdr:spPr>
    </xdr:pic>
    <xdr:clientData/>
  </xdr:twoCellAnchor>
  <xdr:twoCellAnchor>
    <xdr:from>
      <xdr:col>3</xdr:col>
      <xdr:colOff>623454</xdr:colOff>
      <xdr:row>2</xdr:row>
      <xdr:rowOff>57727</xdr:rowOff>
    </xdr:from>
    <xdr:to>
      <xdr:col>15</xdr:col>
      <xdr:colOff>258330</xdr:colOff>
      <xdr:row>4</xdr:row>
      <xdr:rowOff>125124</xdr:rowOff>
    </xdr:to>
    <xdr:sp macro="" textlink="">
      <xdr:nvSpPr>
        <xdr:cNvPr id="12" name="TextBox 16">
          <a:extLst>
            <a:ext uri="{FF2B5EF4-FFF2-40B4-BE49-F238E27FC236}">
              <a16:creationId xmlns:a16="http://schemas.microsoft.com/office/drawing/2014/main" id="{1656E4DD-0088-465A-9BCF-1A0BDD5E660C}"/>
            </a:ext>
          </a:extLst>
        </xdr:cNvPr>
        <xdr:cNvSpPr txBox="1"/>
      </xdr:nvSpPr>
      <xdr:spPr>
        <a:xfrm>
          <a:off x="2563090" y="427182"/>
          <a:ext cx="7393422" cy="43685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lang="en-US" sz="1600" b="1" baseline="0">
              <a:ln>
                <a:noFill/>
              </a:ln>
              <a:solidFill>
                <a:schemeClr val="bg2">
                  <a:lumMod val="25000"/>
                </a:schemeClr>
              </a:solidFill>
              <a:effectLst/>
            </a:rPr>
            <a:t>SKAI</a:t>
          </a:r>
          <a:r>
            <a:rPr lang="lt-LT" sz="1600" b="1" baseline="0">
              <a:ln>
                <a:noFill/>
              </a:ln>
              <a:solidFill>
                <a:schemeClr val="bg2">
                  <a:lumMod val="25000"/>
                </a:schemeClr>
              </a:solidFill>
              <a:effectLst/>
            </a:rPr>
            <a:t>ČIUOKLĖS NAUDOJIMO INSTRUKCIJA</a:t>
          </a:r>
          <a:endParaRPr lang="lt-LT" sz="1600" b="1">
            <a:ln>
              <a:noFill/>
            </a:ln>
            <a:solidFill>
              <a:schemeClr val="bg2">
                <a:lumMod val="25000"/>
              </a:schemeClr>
            </a:solidFill>
            <a:effectLst/>
          </a:endParaRPr>
        </a:p>
      </xdr:txBody>
    </xdr:sp>
    <xdr:clientData/>
  </xdr:twoCellAnchor>
  <xdr:twoCellAnchor>
    <xdr:from>
      <xdr:col>4</xdr:col>
      <xdr:colOff>23091</xdr:colOff>
      <xdr:row>8</xdr:row>
      <xdr:rowOff>24739</xdr:rowOff>
    </xdr:from>
    <xdr:to>
      <xdr:col>20</xdr:col>
      <xdr:colOff>11546</xdr:colOff>
      <xdr:row>98</xdr:row>
      <xdr:rowOff>112980</xdr:rowOff>
    </xdr:to>
    <xdr:sp macro="" textlink="">
      <xdr:nvSpPr>
        <xdr:cNvPr id="16" name="TextBox 28">
          <a:extLst>
            <a:ext uri="{FF2B5EF4-FFF2-40B4-BE49-F238E27FC236}">
              <a16:creationId xmlns:a16="http://schemas.microsoft.com/office/drawing/2014/main" id="{77AA85A3-B65C-41AF-A5C3-89136383FD0D}"/>
            </a:ext>
          </a:extLst>
        </xdr:cNvPr>
        <xdr:cNvSpPr txBox="1"/>
      </xdr:nvSpPr>
      <xdr:spPr>
        <a:xfrm>
          <a:off x="2609273" y="1502557"/>
          <a:ext cx="10333182" cy="16713696"/>
        </a:xfrm>
        <a:prstGeom prst="rect">
          <a:avLst/>
        </a:prstGeom>
        <a:solidFill>
          <a:schemeClr val="accent3"/>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lang="en-US" sz="1600" b="1" i="0" baseline="0">
              <a:solidFill>
                <a:schemeClr val="accent3">
                  <a:lumMod val="25000"/>
                </a:schemeClr>
              </a:solidFill>
              <a:effectLst/>
              <a:latin typeface="+mn-lt"/>
              <a:ea typeface="+mn-ea"/>
              <a:cs typeface="+mn-cs"/>
            </a:rPr>
            <a:t>1. </a:t>
          </a:r>
          <a:r>
            <a:rPr lang="lt-LT" sz="1600" b="1" i="0" baseline="0">
              <a:solidFill>
                <a:schemeClr val="accent3">
                  <a:lumMod val="25000"/>
                </a:schemeClr>
              </a:solidFill>
              <a:effectLst/>
              <a:latin typeface="+mn-lt"/>
              <a:ea typeface="+mn-ea"/>
              <a:cs typeface="+mn-cs"/>
            </a:rPr>
            <a:t>Pradiniai veiksmai</a:t>
          </a:r>
        </a:p>
        <a:p>
          <a:pPr eaLnBrk="1" fontAlgn="auto" latinLnBrk="0" hangingPunct="1"/>
          <a:endParaRPr lang="lt-LT" sz="1400">
            <a:effectLst/>
          </a:endParaRPr>
        </a:p>
        <a:p>
          <a:pPr marL="171450" indent="-171450" eaLnBrk="1" fontAlgn="auto" latinLnBrk="0" hangingPunct="1">
            <a:lnSpc>
              <a:spcPct val="150000"/>
            </a:lnSpc>
            <a:buFont typeface="Courier New" panose="02070309020205020404" pitchFamily="49" charset="0"/>
            <a:buChar char="o"/>
          </a:pPr>
          <a:r>
            <a:rPr lang="lt-LT" sz="1400" b="0" i="0" baseline="0">
              <a:solidFill>
                <a:schemeClr val="accent3">
                  <a:lumMod val="25000"/>
                </a:schemeClr>
              </a:solidFill>
              <a:effectLst/>
              <a:latin typeface="+mn-lt"/>
              <a:ea typeface="+mn-ea"/>
              <a:cs typeface="+mn-cs"/>
            </a:rPr>
            <a:t>Prieš pradėdami naudotis skaičiuokle, atidžiai perskaitykite "Pradžios" lapo informaciją ir </a:t>
          </a:r>
          <a:r>
            <a:rPr lang="lt-LT" sz="1400" b="0" i="0" u="none" baseline="0">
              <a:solidFill>
                <a:schemeClr val="accent3">
                  <a:lumMod val="25000"/>
                </a:schemeClr>
              </a:solidFill>
              <a:effectLst/>
              <a:latin typeface="+mn-lt"/>
              <a:ea typeface="+mn-ea"/>
              <a:cs typeface="+mn-cs"/>
            </a:rPr>
            <a:t>metodologinį dokumentą </a:t>
          </a:r>
          <a:r>
            <a:rPr lang="lt-LT" sz="1400" b="0" i="0" baseline="0">
              <a:solidFill>
                <a:schemeClr val="accent3">
                  <a:lumMod val="25000"/>
                </a:schemeClr>
              </a:solidFill>
              <a:effectLst/>
              <a:latin typeface="+mn-lt"/>
              <a:ea typeface="+mn-ea"/>
              <a:cs typeface="+mn-cs"/>
            </a:rPr>
            <a:t>(žr. https://aaa.lrv.lt/lt/veiklos-sritys/teisekuros-poveikio-vertinimas/), kad geriau suprastumėte naudojamas sąvokas ir aplinkos oro teršalų kiekių pokyčių skaičiavimo principus. </a:t>
          </a:r>
        </a:p>
        <a:p>
          <a:pPr marL="171450" indent="-171450" eaLnBrk="1" fontAlgn="auto" latinLnBrk="0" hangingPunct="1">
            <a:lnSpc>
              <a:spcPct val="150000"/>
            </a:lnSpc>
            <a:buFont typeface="Courier New" panose="02070309020205020404" pitchFamily="49" charset="0"/>
            <a:buChar char="o"/>
          </a:pPr>
          <a:r>
            <a:rPr lang="lt-LT" sz="1400" b="0" i="0" baseline="0">
              <a:solidFill>
                <a:schemeClr val="accent3">
                  <a:lumMod val="25000"/>
                </a:schemeClr>
              </a:solidFill>
              <a:effectLst/>
              <a:latin typeface="+mn-lt"/>
              <a:ea typeface="+mn-ea"/>
              <a:cs typeface="+mn-cs"/>
            </a:rPr>
            <a:t>Lape „Skaičiuoklė“ susipažinkite su lentelės apačioje esančiais sutartiniais žymėjimais ir pastabomis, kad lengviau suprastumėte skaičiuoklės turinį.</a:t>
          </a:r>
          <a:endParaRPr lang="lt-LT" sz="1400">
            <a:solidFill>
              <a:schemeClr val="accent3">
                <a:lumMod val="25000"/>
              </a:schemeClr>
            </a:solidFill>
            <a:effectLst/>
          </a:endParaRPr>
        </a:p>
        <a:p>
          <a:pPr marL="171450" indent="-171450">
            <a:lnSpc>
              <a:spcPct val="150000"/>
            </a:lnSpc>
            <a:buFont typeface="Courier New" panose="02070309020205020404" pitchFamily="49" charset="0"/>
            <a:buChar char="o"/>
          </a:pPr>
          <a:r>
            <a:rPr lang="lt-LT" sz="1400" b="0" i="0" baseline="0">
              <a:solidFill>
                <a:schemeClr val="accent3">
                  <a:lumMod val="25000"/>
                </a:schemeClr>
              </a:solidFill>
              <a:effectLst/>
              <a:latin typeface="+mn-lt"/>
              <a:ea typeface="+mn-ea"/>
              <a:cs typeface="+mn-cs"/>
            </a:rPr>
            <a:t>Atidžiai laikykitės toliau pateiktų instrukcijoje pateiktų nurodymų, kad užtikrintumėte teisingą duomenų įvedimą ir rezultatų gavimą.</a:t>
          </a:r>
        </a:p>
        <a:p>
          <a:pPr>
            <a:lnSpc>
              <a:spcPct val="150000"/>
            </a:lnSpc>
          </a:pPr>
          <a:r>
            <a:rPr kumimoji="0" lang="lt-LT" sz="1400" b="0" i="0" u="none" strike="noStrike" kern="100" cap="none" spc="0" normalizeH="0" baseline="0" noProof="0">
              <a:ln>
                <a:noFill/>
              </a:ln>
              <a:solidFill>
                <a:schemeClr val="accent3">
                  <a:lumMod val="25000"/>
                </a:schemeClr>
              </a:solidFill>
              <a:effectLst/>
              <a:uLnTx/>
              <a:uFillTx/>
              <a:latin typeface="Calibri" panose="020F0502020204030204" pitchFamily="34" charset="0"/>
              <a:ea typeface="Calibri" panose="020F0502020204030204" pitchFamily="34" charset="0"/>
              <a:cs typeface="Times New Roman" panose="02020603050405020304" pitchFamily="18" charset="0"/>
            </a:rPr>
            <a:t> </a:t>
          </a:r>
        </a:p>
        <a:p>
          <a:pPr marL="0" marR="0" lvl="0" indent="0" defTabSz="914400" eaLnBrk="1" fontAlgn="auto" latinLnBrk="0" hangingPunct="1">
            <a:lnSpc>
              <a:spcPct val="150000"/>
            </a:lnSpc>
            <a:spcBef>
              <a:spcPts val="0"/>
            </a:spcBef>
            <a:spcAft>
              <a:spcPts val="500"/>
            </a:spcAft>
            <a:buClrTx/>
            <a:buSzTx/>
            <a:buFontTx/>
            <a:buNone/>
            <a:tabLst/>
            <a:defRPr/>
          </a:pPr>
          <a:r>
            <a:rPr kumimoji="0" lang="lt-LT" sz="1600" b="1" i="0" u="none" strike="noStrike" kern="100" cap="none" spc="0" normalizeH="0" baseline="0" noProof="0">
              <a:ln>
                <a:noFill/>
              </a:ln>
              <a:solidFill>
                <a:schemeClr val="accent3">
                  <a:lumMod val="25000"/>
                </a:schemeClr>
              </a:solidFill>
              <a:effectLst/>
              <a:uLnTx/>
              <a:uFillTx/>
              <a:latin typeface="Calibri" panose="020F0502020204030204" pitchFamily="34" charset="0"/>
              <a:ea typeface="Calibri" panose="020F0502020204030204" pitchFamily="34" charset="0"/>
              <a:cs typeface="Times New Roman" panose="02020603050405020304" pitchFamily="18" charset="0"/>
            </a:rPr>
            <a:t>2. Duomenų įvedimas </a:t>
          </a:r>
        </a:p>
        <a:p>
          <a:pPr marL="285750" marR="0" lvl="0" indent="-285750" defTabSz="914400" eaLnBrk="1" fontAlgn="auto" latinLnBrk="0" hangingPunct="1">
            <a:lnSpc>
              <a:spcPct val="150000"/>
            </a:lnSpc>
            <a:spcBef>
              <a:spcPts val="0"/>
            </a:spcBef>
            <a:spcAft>
              <a:spcPts val="500"/>
            </a:spcAft>
            <a:buClrTx/>
            <a:buSzTx/>
            <a:buFont typeface="Courier New" panose="02070309020205020404" pitchFamily="49" charset="0"/>
            <a:buChar char="o"/>
            <a:tabLst/>
            <a:defRPr/>
          </a:pPr>
          <a:r>
            <a:rPr kumimoji="0" lang="lt-LT" sz="1400" b="0" i="0" u="none" strike="noStrike" kern="0" cap="none" spc="0" normalizeH="0" baseline="0" noProof="0">
              <a:ln>
                <a:noFill/>
              </a:ln>
              <a:solidFill>
                <a:srgbClr val="F4FAF6">
                  <a:lumMod val="25000"/>
                </a:srgbClr>
              </a:solidFill>
              <a:effectLst/>
              <a:uLnTx/>
              <a:uFillTx/>
              <a:latin typeface="+mn-lt"/>
              <a:ea typeface="+mn-ea"/>
              <a:cs typeface="+mn-cs"/>
            </a:rPr>
            <a:t>Įveskite teisėkūros iniciatyvos parametrų - </a:t>
          </a:r>
          <a:r>
            <a:rPr kumimoji="0" lang="lt-LT" sz="1400" b="1" i="0" u="none" strike="noStrike" kern="0" cap="none" spc="0" normalizeH="0" baseline="0" noProof="0">
              <a:ln>
                <a:noFill/>
              </a:ln>
              <a:solidFill>
                <a:srgbClr val="F4FAF6">
                  <a:lumMod val="25000"/>
                </a:srgbClr>
              </a:solidFill>
              <a:effectLst/>
              <a:uLnTx/>
              <a:uFillTx/>
              <a:latin typeface="+mn-lt"/>
              <a:ea typeface="+mn-ea"/>
              <a:cs typeface="+mn-cs"/>
            </a:rPr>
            <a:t>laiko, </a:t>
          </a:r>
          <a:r>
            <a:rPr lang="lt-LT" sz="1400" b="1" i="0" baseline="0">
              <a:solidFill>
                <a:schemeClr val="accent3">
                  <a:lumMod val="25000"/>
                </a:schemeClr>
              </a:solidFill>
              <a:effectLst/>
              <a:latin typeface="+mn-lt"/>
              <a:ea typeface="+mn-ea"/>
              <a:cs typeface="+mn-cs"/>
            </a:rPr>
            <a:t>objekto</a:t>
          </a:r>
          <a:r>
            <a:rPr lang="en-US" sz="1400" b="1" i="0" baseline="0">
              <a:solidFill>
                <a:schemeClr val="accent3">
                  <a:lumMod val="25000"/>
                </a:schemeClr>
              </a:solidFill>
              <a:effectLst/>
              <a:latin typeface="+mn-lt"/>
              <a:ea typeface="+mn-ea"/>
              <a:cs typeface="+mn-cs"/>
            </a:rPr>
            <a:t> ir </a:t>
          </a:r>
          <a:r>
            <a:rPr kumimoji="0" lang="lt-LT" sz="1400" b="1" i="0" u="none" strike="noStrike" kern="0" cap="none" spc="0" normalizeH="0" baseline="0" noProof="0">
              <a:ln>
                <a:noFill/>
              </a:ln>
              <a:solidFill>
                <a:srgbClr val="F4FAF6">
                  <a:lumMod val="25000"/>
                </a:srgbClr>
              </a:solidFill>
              <a:effectLst/>
              <a:uLnTx/>
              <a:uFillTx/>
              <a:latin typeface="+mn-lt"/>
              <a:ea typeface="+mn-ea"/>
              <a:cs typeface="+mn-cs"/>
            </a:rPr>
            <a:t>reguliuojamo veiklos rodiklio </a:t>
          </a:r>
          <a:r>
            <a:rPr kumimoji="0" lang="lt-LT" sz="1400" b="0" i="0" u="none" strike="noStrike" kern="0" cap="none" spc="0" normalizeH="0" baseline="0" noProof="0">
              <a:ln>
                <a:noFill/>
              </a:ln>
              <a:solidFill>
                <a:srgbClr val="F4FAF6">
                  <a:lumMod val="25000"/>
                </a:srgbClr>
              </a:solidFill>
              <a:effectLst/>
              <a:uLnTx/>
              <a:uFillTx/>
              <a:latin typeface="+mn-lt"/>
              <a:ea typeface="+mn-ea"/>
              <a:cs typeface="+mn-cs"/>
            </a:rPr>
            <a:t>- specifinius</a:t>
          </a:r>
          <a:r>
            <a:rPr kumimoji="0" lang="lt-LT" sz="1400" b="1" i="0" u="none" strike="noStrike" kern="0" cap="none" spc="0" normalizeH="0" baseline="0" noProof="0">
              <a:ln>
                <a:noFill/>
              </a:ln>
              <a:solidFill>
                <a:srgbClr val="F4FAF6">
                  <a:lumMod val="25000"/>
                </a:srgbClr>
              </a:solidFill>
              <a:effectLst/>
              <a:uLnTx/>
              <a:uFillTx/>
              <a:latin typeface="+mn-lt"/>
              <a:ea typeface="+mn-ea"/>
              <a:cs typeface="+mn-cs"/>
            </a:rPr>
            <a:t> </a:t>
          </a:r>
          <a:r>
            <a:rPr kumimoji="0" lang="lt-LT" sz="1400" b="0" i="0" u="none" strike="noStrike" kern="0" cap="none" spc="0" normalizeH="0" baseline="0" noProof="0">
              <a:ln>
                <a:noFill/>
              </a:ln>
              <a:solidFill>
                <a:srgbClr val="F4FAF6">
                  <a:lumMod val="25000"/>
                </a:srgbClr>
              </a:solidFill>
              <a:effectLst/>
              <a:uLnTx/>
              <a:uFillTx/>
              <a:latin typeface="+mn-lt"/>
              <a:ea typeface="+mn-ea"/>
              <a:cs typeface="+mn-cs"/>
            </a:rPr>
            <a:t>duomenis į </a:t>
          </a:r>
          <a:r>
            <a:rPr kumimoji="0" lang="en-US" sz="1400" b="0" i="0" u="none" strike="noStrike" kern="0" cap="none" spc="0" normalizeH="0" baseline="0" noProof="0">
              <a:ln>
                <a:noFill/>
              </a:ln>
              <a:solidFill>
                <a:srgbClr val="F4FAF6">
                  <a:lumMod val="25000"/>
                </a:srgbClr>
              </a:solidFill>
              <a:effectLst/>
              <a:uLnTx/>
              <a:uFillTx/>
              <a:latin typeface="+mn-lt"/>
              <a:ea typeface="+mn-ea"/>
              <a:cs typeface="+mn-cs"/>
            </a:rPr>
            <a:t>analiz</a:t>
          </a:r>
          <a:r>
            <a:rPr kumimoji="0" lang="lt-LT" sz="1400" b="0" i="0" u="none" strike="noStrike" kern="0" cap="none" spc="0" normalizeH="0" baseline="0" noProof="0">
              <a:ln>
                <a:noFill/>
              </a:ln>
              <a:solidFill>
                <a:srgbClr val="F4FAF6">
                  <a:lumMod val="25000"/>
                </a:srgbClr>
              </a:solidFill>
              <a:effectLst/>
              <a:uLnTx/>
              <a:uFillTx/>
              <a:latin typeface="+mn-lt"/>
              <a:ea typeface="+mn-ea"/>
              <a:cs typeface="+mn-cs"/>
            </a:rPr>
            <a:t>ės </a:t>
          </a:r>
          <a:r>
            <a:rPr kumimoji="0" lang="lt-LT" sz="1400" b="1" i="0" u="none" strike="noStrike" kern="0" cap="none" spc="0" normalizeH="0" baseline="0" noProof="0">
              <a:ln>
                <a:noFill/>
              </a:ln>
              <a:solidFill>
                <a:srgbClr val="F4FAF6">
                  <a:lumMod val="25000"/>
                </a:srgbClr>
              </a:solidFill>
              <a:effectLst/>
              <a:uLnTx/>
              <a:uFillTx/>
              <a:latin typeface="+mn-lt"/>
              <a:ea typeface="+mn-ea"/>
              <a:cs typeface="+mn-cs"/>
            </a:rPr>
            <a:t>variantų</a:t>
          </a:r>
          <a:r>
            <a:rPr kumimoji="0" lang="lt-LT" sz="1400" b="0" i="0" u="none" strike="noStrike" kern="0" cap="none" spc="0" normalizeH="0" baseline="0" noProof="0">
              <a:ln>
                <a:noFill/>
              </a:ln>
              <a:solidFill>
                <a:srgbClr val="F4FAF6">
                  <a:lumMod val="25000"/>
                </a:srgbClr>
              </a:solidFill>
              <a:effectLst/>
              <a:uLnTx/>
              <a:uFillTx/>
              <a:latin typeface="+mn-lt"/>
              <a:ea typeface="+mn-ea"/>
              <a:cs typeface="+mn-cs"/>
            </a:rPr>
            <a:t> laukelius. Šių duomenų įvedimas yra privalomas, norint nustatyti teisėkūros iniciatyvos poveikį NO</a:t>
          </a:r>
          <a:r>
            <a:rPr kumimoji="0" lang="lt-LT" sz="1400" b="0" i="0" u="none" strike="noStrike" kern="0" cap="none" spc="0" normalizeH="0" baseline="-25000" noProof="0">
              <a:ln>
                <a:noFill/>
              </a:ln>
              <a:solidFill>
                <a:srgbClr val="F4FAF6">
                  <a:lumMod val="25000"/>
                </a:srgbClr>
              </a:solidFill>
              <a:effectLst/>
              <a:uLnTx/>
              <a:uFillTx/>
              <a:latin typeface="+mn-lt"/>
              <a:ea typeface="+mn-ea"/>
              <a:cs typeface="+mn-cs"/>
            </a:rPr>
            <a:t>x</a:t>
          </a:r>
          <a:r>
            <a:rPr kumimoji="0" lang="lt-LT" sz="1400" b="0" i="0" u="none" strike="noStrike" kern="0" cap="none" spc="0" normalizeH="0" baseline="0" noProof="0">
              <a:ln>
                <a:noFill/>
              </a:ln>
              <a:solidFill>
                <a:srgbClr val="F4FAF6">
                  <a:lumMod val="25000"/>
                </a:srgbClr>
              </a:solidFill>
              <a:effectLst/>
              <a:uLnTx/>
              <a:uFillTx/>
              <a:latin typeface="+mn-lt"/>
              <a:ea typeface="+mn-ea"/>
              <a:cs typeface="+mn-cs"/>
            </a:rPr>
            <a:t>, NMLOJ, KD </a:t>
          </a:r>
          <a:r>
            <a:rPr kumimoji="0" lang="en-US" sz="1400" b="0" i="0" u="none" strike="noStrike" kern="0" cap="none" spc="0" normalizeH="0" baseline="0" noProof="0">
              <a:ln>
                <a:noFill/>
              </a:ln>
              <a:solidFill>
                <a:srgbClr val="F4FAF6">
                  <a:lumMod val="25000"/>
                </a:srgbClr>
              </a:solidFill>
              <a:effectLst/>
              <a:uLnTx/>
              <a:uFillTx/>
              <a:latin typeface="+mn-lt"/>
              <a:ea typeface="+mn-ea"/>
              <a:cs typeface="+mn-cs"/>
            </a:rPr>
            <a:t>2.5,  NH</a:t>
          </a:r>
          <a:r>
            <a:rPr kumimoji="0" lang="en-US" sz="1400" b="0" i="0" u="none" strike="noStrike" kern="0" cap="none" spc="0" normalizeH="0" baseline="-25000" noProof="0">
              <a:ln>
                <a:noFill/>
              </a:ln>
              <a:solidFill>
                <a:srgbClr val="F4FAF6">
                  <a:lumMod val="25000"/>
                </a:srgbClr>
              </a:solidFill>
              <a:effectLst/>
              <a:uLnTx/>
              <a:uFillTx/>
              <a:latin typeface="+mn-lt"/>
              <a:ea typeface="+mn-ea"/>
              <a:cs typeface="+mn-cs"/>
            </a:rPr>
            <a:t>3</a:t>
          </a:r>
          <a:r>
            <a:rPr kumimoji="0" lang="en-US" sz="1400" b="0" i="0" u="none" strike="noStrike" kern="0" cap="none" spc="0" normalizeH="0" baseline="0" noProof="0">
              <a:ln>
                <a:noFill/>
              </a:ln>
              <a:solidFill>
                <a:srgbClr val="F4FAF6">
                  <a:lumMod val="25000"/>
                </a:srgbClr>
              </a:solidFill>
              <a:effectLst/>
              <a:uLnTx/>
              <a:uFillTx/>
              <a:latin typeface="+mn-lt"/>
              <a:ea typeface="+mn-ea"/>
              <a:cs typeface="+mn-cs"/>
            </a:rPr>
            <a:t> </a:t>
          </a:r>
          <a:r>
            <a:rPr kumimoji="0" lang="lt-LT" sz="1400" b="0" i="0" u="none" strike="noStrike" kern="0" cap="none" spc="0" normalizeH="0" baseline="0" noProof="0">
              <a:ln>
                <a:noFill/>
              </a:ln>
              <a:solidFill>
                <a:srgbClr val="F4FAF6">
                  <a:lumMod val="25000"/>
                </a:srgbClr>
              </a:solidFill>
              <a:effectLst/>
              <a:uLnTx/>
              <a:uFillTx/>
              <a:latin typeface="+mn-lt"/>
              <a:ea typeface="+mn-ea"/>
              <a:cs typeface="+mn-cs"/>
            </a:rPr>
            <a:t> kiekių pokyčiams. Jei pateiktų analizės variantų nepakanka, atsisiųskite naują skaičiavimo įrankį arba susikurkite lapo "Skaičiuoklė" kopiją.</a:t>
          </a:r>
          <a:endParaRPr kumimoji="0" lang="lt-LT" sz="1400" b="0" i="0" u="none" strike="noStrike" kern="100" cap="none" spc="0" normalizeH="0" baseline="0" noProof="0">
            <a:ln>
              <a:noFill/>
            </a:ln>
            <a:solidFill>
              <a:srgbClr val="F4FAF6">
                <a:lumMod val="25000"/>
              </a:srgbClr>
            </a:solidFill>
            <a:effectLst/>
            <a:uLnTx/>
            <a:uFillTx/>
            <a:latin typeface="Calibri" panose="020F0502020204030204" pitchFamily="34" charset="0"/>
            <a:ea typeface="Calibri" panose="020F0502020204030204" pitchFamily="34" charset="0"/>
            <a:cs typeface="Times New Roman" panose="02020603050405020304" pitchFamily="18" charset="0"/>
          </a:endParaRPr>
        </a:p>
        <a:p>
          <a:pPr marL="285750" marR="0" lvl="0" indent="-285750" defTabSz="914400" eaLnBrk="1" fontAlgn="auto" latinLnBrk="0" hangingPunct="1">
            <a:lnSpc>
              <a:spcPct val="150000"/>
            </a:lnSpc>
            <a:spcBef>
              <a:spcPts val="0"/>
            </a:spcBef>
            <a:spcAft>
              <a:spcPts val="500"/>
            </a:spcAft>
            <a:buClrTx/>
            <a:buSzTx/>
            <a:buFont typeface="Courier New" panose="02070309020205020404" pitchFamily="49" charset="0"/>
            <a:buChar char="o"/>
            <a:tabLst/>
            <a:defRPr/>
          </a:pPr>
          <a:r>
            <a:rPr kumimoji="0" lang="lt-LT" sz="1400" b="0" i="0" u="none" strike="noStrike" kern="100" cap="none" spc="0" normalizeH="0" baseline="0" noProof="0">
              <a:ln>
                <a:noFill/>
              </a:ln>
              <a:solidFill>
                <a:schemeClr val="accent3">
                  <a:lumMod val="25000"/>
                </a:schemeClr>
              </a:solidFill>
              <a:effectLst/>
              <a:uLnTx/>
              <a:uFillTx/>
              <a:latin typeface="Calibri" panose="020F0502020204030204" pitchFamily="34" charset="0"/>
              <a:ea typeface="Calibri" panose="020F0502020204030204" pitchFamily="34" charset="0"/>
              <a:cs typeface="Times New Roman" panose="02020603050405020304" pitchFamily="18" charset="0"/>
            </a:rPr>
            <a:t>Bet kuriuo metu galite keisti arba papildyti duomenis, neatsižvelgiant į duomenų įvedimo seką.</a:t>
          </a:r>
        </a:p>
        <a:p>
          <a:pPr marL="285750" marR="0" lvl="0" indent="-285750" defTabSz="914400" eaLnBrk="1" fontAlgn="auto" latinLnBrk="0" hangingPunct="1">
            <a:lnSpc>
              <a:spcPct val="150000"/>
            </a:lnSpc>
            <a:spcBef>
              <a:spcPts val="0"/>
            </a:spcBef>
            <a:spcAft>
              <a:spcPts val="500"/>
            </a:spcAft>
            <a:buClrTx/>
            <a:buSzTx/>
            <a:buFont typeface="Courier New" panose="02070309020205020404" pitchFamily="49" charset="0"/>
            <a:buChar char="o"/>
            <a:tabLst/>
            <a:defRPr/>
          </a:pPr>
          <a:r>
            <a:rPr kumimoji="0" lang="lt-LT" sz="1400" b="0" i="0" u="none" strike="noStrike" kern="100" cap="none" spc="0" normalizeH="0" baseline="0" noProof="0">
              <a:ln>
                <a:noFill/>
              </a:ln>
              <a:solidFill>
                <a:schemeClr val="accent3">
                  <a:lumMod val="25000"/>
                </a:schemeClr>
              </a:solidFill>
              <a:effectLst/>
              <a:uLnTx/>
              <a:uFillTx/>
              <a:latin typeface="Calibri" panose="020F0502020204030204" pitchFamily="34" charset="0"/>
              <a:ea typeface="Calibri" panose="020F0502020204030204" pitchFamily="34" charset="0"/>
              <a:cs typeface="Times New Roman" panose="02020603050405020304" pitchFamily="18" charset="0"/>
            </a:rPr>
            <a:t>Skaičiuoklėje pateikti įvesties duomenys yra </a:t>
          </a:r>
          <a:r>
            <a:rPr kumimoji="0" lang="lt-LT" sz="1400" b="1" i="0" u="none" strike="noStrike" kern="100" cap="none" spc="0" normalizeH="0" baseline="0" noProof="0">
              <a:ln>
                <a:noFill/>
              </a:ln>
              <a:solidFill>
                <a:schemeClr val="accent3">
                  <a:lumMod val="25000"/>
                </a:schemeClr>
              </a:solidFill>
              <a:effectLst/>
              <a:uLnTx/>
              <a:uFillTx/>
              <a:latin typeface="Calibri" panose="020F0502020204030204" pitchFamily="34" charset="0"/>
              <a:ea typeface="Calibri" panose="020F0502020204030204" pitchFamily="34" charset="0"/>
              <a:cs typeface="Times New Roman" panose="02020603050405020304" pitchFamily="18" charset="0"/>
            </a:rPr>
            <a:t>pavyzdiniai</a:t>
          </a:r>
          <a:r>
            <a:rPr kumimoji="0" lang="lt-LT" sz="1400" b="0" i="0" u="none" strike="noStrike" kern="100" cap="none" spc="0" normalizeH="0" baseline="0" noProof="0">
              <a:ln>
                <a:noFill/>
              </a:ln>
              <a:solidFill>
                <a:schemeClr val="accent3">
                  <a:lumMod val="25000"/>
                </a:schemeClr>
              </a:solidFill>
              <a:effectLst/>
              <a:uLnTx/>
              <a:uFillTx/>
              <a:latin typeface="Calibri" panose="020F0502020204030204" pitchFamily="34" charset="0"/>
              <a:ea typeface="Calibri" panose="020F0502020204030204" pitchFamily="34" charset="0"/>
              <a:cs typeface="Times New Roman" panose="02020603050405020304" pitchFamily="18" charset="0"/>
            </a:rPr>
            <a:t> ir turi būti keičiami pagal pasirinktus </a:t>
          </a:r>
          <a:r>
            <a:rPr lang="lt-LT" sz="1400" b="0" i="0" baseline="0">
              <a:solidFill>
                <a:schemeClr val="accent3">
                  <a:lumMod val="25000"/>
                </a:schemeClr>
              </a:solidFill>
              <a:effectLst/>
              <a:latin typeface="+mn-lt"/>
              <a:ea typeface="+mn-ea"/>
              <a:cs typeface="+mn-cs"/>
            </a:rPr>
            <a:t>teisėkūros iniciatyvos tikslus</a:t>
          </a:r>
          <a:r>
            <a:rPr kumimoji="0" lang="lt-LT" sz="1400" b="0" i="0" u="none" strike="noStrike" kern="100" cap="none" spc="0" normalizeH="0" baseline="0" noProof="0">
              <a:ln>
                <a:noFill/>
              </a:ln>
              <a:solidFill>
                <a:schemeClr val="accent3">
                  <a:lumMod val="25000"/>
                </a:schemeClr>
              </a:solidFill>
              <a:effectLst/>
              <a:uLnTx/>
              <a:uFillTx/>
              <a:latin typeface="Calibri" panose="020F0502020204030204" pitchFamily="34" charset="0"/>
              <a:ea typeface="Calibri" panose="020F0502020204030204" pitchFamily="34" charset="0"/>
              <a:cs typeface="Times New Roman" panose="02020603050405020304" pitchFamily="18" charset="0"/>
            </a:rPr>
            <a:t>.</a:t>
          </a:r>
        </a:p>
        <a:p>
          <a:pPr marL="0" marR="0" lvl="0" indent="0" defTabSz="914400" eaLnBrk="1" fontAlgn="auto" latinLnBrk="0" hangingPunct="1">
            <a:lnSpc>
              <a:spcPct val="150000"/>
            </a:lnSpc>
            <a:spcBef>
              <a:spcPts val="0"/>
            </a:spcBef>
            <a:spcAft>
              <a:spcPts val="500"/>
            </a:spcAft>
            <a:buClrTx/>
            <a:buSzTx/>
            <a:buFontTx/>
            <a:buNone/>
            <a:tabLst/>
            <a:defRPr/>
          </a:pPr>
          <a:r>
            <a:rPr kumimoji="0" lang="en-US" sz="1400" b="1" i="0" u="none" strike="noStrike" kern="100" cap="none" spc="0" normalizeH="0" baseline="0" noProof="0">
              <a:ln>
                <a:noFill/>
              </a:ln>
              <a:solidFill>
                <a:schemeClr val="accent3">
                  <a:lumMod val="25000"/>
                </a:schemeClr>
              </a:solidFill>
              <a:effectLst/>
              <a:uLnTx/>
              <a:uFillTx/>
              <a:latin typeface="Calibri" panose="020F0502020204030204" pitchFamily="34" charset="0"/>
              <a:ea typeface="Calibri" panose="020F0502020204030204" pitchFamily="34" charset="0"/>
              <a:cs typeface="Times New Roman" panose="02020603050405020304" pitchFamily="18" charset="0"/>
            </a:rPr>
            <a:t>2.1. </a:t>
          </a:r>
          <a:r>
            <a:rPr kumimoji="0" lang="lt-LT" sz="1400" b="1" i="0" u="none" strike="noStrike" kern="100" cap="none" spc="0" normalizeH="0" baseline="0" noProof="0">
              <a:ln>
                <a:noFill/>
              </a:ln>
              <a:solidFill>
                <a:schemeClr val="accent3">
                  <a:lumMod val="25000"/>
                </a:schemeClr>
              </a:solidFill>
              <a:effectLst/>
              <a:uLnTx/>
              <a:uFillTx/>
              <a:latin typeface="Calibri" panose="020F0502020204030204" pitchFamily="34" charset="0"/>
              <a:ea typeface="Calibri" panose="020F0502020204030204" pitchFamily="34" charset="0"/>
              <a:cs typeface="Times New Roman" panose="02020603050405020304" pitchFamily="18" charset="0"/>
            </a:rPr>
            <a:t>Laiko parametrų įvedimas</a:t>
          </a:r>
        </a:p>
        <a:p>
          <a:pPr marL="285750" marR="0" lvl="0" indent="-285750" defTabSz="914400" eaLnBrk="1" fontAlgn="auto" latinLnBrk="0" hangingPunct="1">
            <a:lnSpc>
              <a:spcPct val="150000"/>
            </a:lnSpc>
            <a:spcBef>
              <a:spcPts val="0"/>
            </a:spcBef>
            <a:spcAft>
              <a:spcPts val="500"/>
            </a:spcAft>
            <a:buClrTx/>
            <a:buSzTx/>
            <a:buFont typeface="Courier New" panose="02070309020205020404" pitchFamily="49" charset="0"/>
            <a:buChar char="o"/>
            <a:tabLst/>
            <a:defRPr/>
          </a:pPr>
          <a:r>
            <a:rPr kumimoji="0" lang="lt-LT" sz="1400" b="0" i="0" u="none" strike="noStrike" kern="100" cap="none" spc="0" normalizeH="0" baseline="0" noProof="0">
              <a:ln>
                <a:noFill/>
              </a:ln>
              <a:solidFill>
                <a:schemeClr val="accent3">
                  <a:lumMod val="25000"/>
                </a:schemeClr>
              </a:solidFill>
              <a:effectLst/>
              <a:uLnTx/>
              <a:uFillTx/>
              <a:latin typeface="Calibri" panose="020F0502020204030204" pitchFamily="34" charset="0"/>
              <a:ea typeface="Calibri" panose="020F0502020204030204" pitchFamily="34" charset="0"/>
              <a:cs typeface="Times New Roman" panose="02020603050405020304" pitchFamily="18" charset="0"/>
            </a:rPr>
            <a:t>Teisėkūros iniciatyvos taikymo laikotarpis: įveskite reikšmę. Galima įvestis nuo 1 metų. </a:t>
          </a:r>
          <a:endParaRPr kumimoji="0" lang="en-US" sz="1400" b="0" i="0" u="none" strike="noStrike" kern="100" cap="none" spc="0" normalizeH="0" baseline="0" noProof="0">
            <a:ln>
              <a:noFill/>
            </a:ln>
            <a:solidFill>
              <a:schemeClr val="accent3">
                <a:lumMod val="25000"/>
              </a:schemeClr>
            </a:solidFill>
            <a:effectLst/>
            <a:uLnTx/>
            <a:uFillTx/>
            <a:latin typeface="Calibri" panose="020F0502020204030204" pitchFamily="34" charset="0"/>
            <a:ea typeface="Calibri" panose="020F0502020204030204" pitchFamily="34" charset="0"/>
            <a:cs typeface="Times New Roman" panose="02020603050405020304" pitchFamily="18" charset="0"/>
          </a:endParaRPr>
        </a:p>
        <a:p>
          <a:pPr marL="0" marR="0" lvl="0" indent="0" defTabSz="914400" eaLnBrk="1" fontAlgn="auto" latinLnBrk="0" hangingPunct="1">
            <a:lnSpc>
              <a:spcPct val="150000"/>
            </a:lnSpc>
            <a:spcBef>
              <a:spcPts val="0"/>
            </a:spcBef>
            <a:spcAft>
              <a:spcPts val="500"/>
            </a:spcAft>
            <a:buClrTx/>
            <a:buSzTx/>
            <a:buFontTx/>
            <a:buNone/>
            <a:tabLst/>
            <a:defRPr/>
          </a:pPr>
          <a:r>
            <a:rPr kumimoji="0" lang="en-US" sz="1400" b="1" i="0" u="none" strike="noStrike" kern="100" cap="none" spc="0" normalizeH="0" baseline="0" noProof="0">
              <a:ln>
                <a:noFill/>
              </a:ln>
              <a:solidFill>
                <a:srgbClr val="F4FAF6">
                  <a:lumMod val="25000"/>
                </a:srgbClr>
              </a:solidFill>
              <a:effectLst/>
              <a:uLnTx/>
              <a:uFillTx/>
              <a:latin typeface="Calibri" panose="020F0502020204030204" pitchFamily="34" charset="0"/>
              <a:ea typeface="Calibri" panose="020F0502020204030204" pitchFamily="34" charset="0"/>
              <a:cs typeface="Times New Roman" panose="02020603050405020304" pitchFamily="18" charset="0"/>
            </a:rPr>
            <a:t>2.2. </a:t>
          </a:r>
          <a:r>
            <a:rPr kumimoji="0" lang="lt-LT" sz="1400" b="1" i="0" u="none" strike="noStrike" kern="100" cap="none" spc="0" normalizeH="0" baseline="0" noProof="0">
              <a:ln>
                <a:noFill/>
              </a:ln>
              <a:solidFill>
                <a:srgbClr val="F4FAF6">
                  <a:lumMod val="25000"/>
                </a:srgbClr>
              </a:solidFill>
              <a:effectLst/>
              <a:uLnTx/>
              <a:uFillTx/>
              <a:latin typeface="Calibri" panose="020F0502020204030204" pitchFamily="34" charset="0"/>
              <a:ea typeface="Calibri" panose="020F0502020204030204" pitchFamily="34" charset="0"/>
              <a:cs typeface="Times New Roman" panose="02020603050405020304" pitchFamily="18" charset="0"/>
            </a:rPr>
            <a:t>Objekto parametrų įvedimas</a:t>
          </a:r>
        </a:p>
        <a:p>
          <a:pPr marL="0" marR="0" lvl="0" indent="0" defTabSz="914400" eaLnBrk="1" fontAlgn="auto" latinLnBrk="0" hangingPunct="1">
            <a:lnSpc>
              <a:spcPct val="150000"/>
            </a:lnSpc>
            <a:spcBef>
              <a:spcPts val="0"/>
            </a:spcBef>
            <a:spcAft>
              <a:spcPts val="500"/>
            </a:spcAft>
            <a:buClrTx/>
            <a:buSzTx/>
            <a:buFontTx/>
            <a:buNone/>
            <a:tabLst/>
            <a:defRPr/>
          </a:pPr>
          <a:r>
            <a:rPr lang="lt-LT" sz="1400">
              <a:solidFill>
                <a:schemeClr val="accent3">
                  <a:lumMod val="25000"/>
                </a:schemeClr>
              </a:solidFill>
              <a:effectLst/>
              <a:latin typeface="+mn-lt"/>
              <a:ea typeface="+mn-ea"/>
              <a:cs typeface="+mn-cs"/>
            </a:rPr>
            <a:t>Pasirinkite</a:t>
          </a:r>
          <a:r>
            <a:rPr lang="lt-LT" sz="1400" baseline="0">
              <a:solidFill>
                <a:schemeClr val="accent3">
                  <a:lumMod val="25000"/>
                </a:schemeClr>
              </a:solidFill>
              <a:effectLst/>
              <a:latin typeface="+mn-lt"/>
              <a:ea typeface="+mn-ea"/>
              <a:cs typeface="+mn-cs"/>
            </a:rPr>
            <a:t> </a:t>
          </a:r>
          <a:r>
            <a:rPr lang="lt-LT" sz="1400">
              <a:solidFill>
                <a:schemeClr val="accent3">
                  <a:lumMod val="25000"/>
                </a:schemeClr>
              </a:solidFill>
              <a:effectLst/>
              <a:latin typeface="+mn-lt"/>
              <a:ea typeface="+mn-ea"/>
              <a:cs typeface="+mn-cs"/>
            </a:rPr>
            <a:t>transporto priemonių, kurių </a:t>
          </a:r>
          <a:r>
            <a:rPr lang="en-US" sz="1400">
              <a:solidFill>
                <a:schemeClr val="accent3">
                  <a:lumMod val="25000"/>
                </a:schemeClr>
              </a:solidFill>
              <a:effectLst/>
              <a:latin typeface="+mn-lt"/>
              <a:ea typeface="+mn-ea"/>
              <a:cs typeface="+mn-cs"/>
            </a:rPr>
            <a:t>degal</a:t>
          </a:r>
          <a:r>
            <a:rPr lang="lt-LT" sz="1400">
              <a:solidFill>
                <a:schemeClr val="accent3">
                  <a:lumMod val="25000"/>
                </a:schemeClr>
              </a:solidFill>
              <a:effectLst/>
              <a:latin typeface="+mn-lt"/>
              <a:ea typeface="+mn-ea"/>
              <a:cs typeface="+mn-cs"/>
            </a:rPr>
            <a:t>ų</a:t>
          </a:r>
          <a:r>
            <a:rPr lang="lt-LT" sz="1400" baseline="0">
              <a:solidFill>
                <a:schemeClr val="accent3">
                  <a:lumMod val="25000"/>
                </a:schemeClr>
              </a:solidFill>
              <a:effectLst/>
              <a:latin typeface="+mn-lt"/>
              <a:ea typeface="+mn-ea"/>
              <a:cs typeface="+mn-cs"/>
            </a:rPr>
            <a:t> rūšį </a:t>
          </a:r>
          <a:r>
            <a:rPr lang="lt-LT" sz="1400">
              <a:solidFill>
                <a:schemeClr val="accent3">
                  <a:lumMod val="25000"/>
                </a:schemeClr>
              </a:solidFill>
              <a:effectLst/>
              <a:latin typeface="+mn-lt"/>
              <a:ea typeface="+mn-ea"/>
              <a:cs typeface="+mn-cs"/>
            </a:rPr>
            <a:t>numatoma reguliuoti, </a:t>
          </a:r>
          <a:r>
            <a:rPr lang="en-US" sz="1400">
              <a:solidFill>
                <a:schemeClr val="accent3">
                  <a:lumMod val="25000"/>
                </a:schemeClr>
              </a:solidFill>
              <a:effectLst/>
              <a:latin typeface="+mn-lt"/>
              <a:ea typeface="+mn-ea"/>
              <a:cs typeface="+mn-cs"/>
            </a:rPr>
            <a:t>bendrus </a:t>
          </a:r>
          <a:r>
            <a:rPr lang="lt-LT" sz="1400">
              <a:solidFill>
                <a:schemeClr val="accent3">
                  <a:lumMod val="25000"/>
                </a:schemeClr>
              </a:solidFill>
              <a:effectLst/>
              <a:latin typeface="+mn-lt"/>
              <a:ea typeface="+mn-ea"/>
              <a:cs typeface="+mn-cs"/>
            </a:rPr>
            <a:t>parametrus.</a:t>
          </a:r>
          <a:endParaRPr kumimoji="0" lang="lt-LT" sz="1400" b="1" i="0" u="none" strike="noStrike" kern="100" cap="none" spc="0" normalizeH="0" baseline="0" noProof="0">
            <a:ln>
              <a:noFill/>
            </a:ln>
            <a:solidFill>
              <a:schemeClr val="accent3">
                <a:lumMod val="25000"/>
              </a:schemeClr>
            </a:solidFill>
            <a:effectLst/>
            <a:uLnTx/>
            <a:uFillTx/>
            <a:latin typeface="+mn-lt"/>
            <a:ea typeface="Calibri" panose="020F0502020204030204" pitchFamily="34" charset="0"/>
            <a:cs typeface="Times New Roman" panose="02020603050405020304" pitchFamily="18" charset="0"/>
          </a:endParaRPr>
        </a:p>
        <a:p>
          <a:pPr marL="285750" marR="0" lvl="0" indent="-285750" defTabSz="914400" eaLnBrk="1" fontAlgn="auto" latinLnBrk="0" hangingPunct="1">
            <a:lnSpc>
              <a:spcPct val="150000"/>
            </a:lnSpc>
            <a:spcBef>
              <a:spcPts val="0"/>
            </a:spcBef>
            <a:spcAft>
              <a:spcPts val="500"/>
            </a:spcAft>
            <a:buClrTx/>
            <a:buSzTx/>
            <a:buFont typeface="Courier New" panose="02070309020205020404" pitchFamily="49" charset="0"/>
            <a:buChar char="o"/>
            <a:tabLst/>
            <a:defRPr/>
          </a:pPr>
          <a:r>
            <a:rPr kumimoji="0" lang="lt-LT" sz="1400" b="0" i="0" u="none" strike="noStrike" kern="100" cap="none" spc="0" normalizeH="0" baseline="0" noProof="0">
              <a:ln>
                <a:noFill/>
              </a:ln>
              <a:solidFill>
                <a:schemeClr val="accent3">
                  <a:lumMod val="25000"/>
                </a:schemeClr>
              </a:solidFill>
              <a:effectLst/>
              <a:uLnTx/>
              <a:uFillTx/>
              <a:latin typeface="Calibri" panose="020F0502020204030204" pitchFamily="34" charset="0"/>
              <a:ea typeface="Calibri" panose="020F0502020204030204" pitchFamily="34" charset="0"/>
              <a:cs typeface="Times New Roman" panose="02020603050405020304" pitchFamily="18" charset="0"/>
            </a:rPr>
            <a:t>Bendra t</a:t>
          </a:r>
          <a:r>
            <a:rPr kumimoji="0" lang="en-US" sz="1400" b="0" i="0" u="none" strike="noStrike" kern="100" cap="none" spc="0" normalizeH="0" baseline="0" noProof="0">
              <a:ln>
                <a:noFill/>
              </a:ln>
              <a:solidFill>
                <a:schemeClr val="accent3">
                  <a:lumMod val="25000"/>
                </a:schemeClr>
              </a:solidFill>
              <a:effectLst/>
              <a:uLnTx/>
              <a:uFillTx/>
              <a:latin typeface="Calibri" panose="020F0502020204030204" pitchFamily="34" charset="0"/>
              <a:ea typeface="Calibri" panose="020F0502020204030204" pitchFamily="34" charset="0"/>
              <a:cs typeface="Times New Roman" panose="02020603050405020304" pitchFamily="18" charset="0"/>
            </a:rPr>
            <a:t>ransporto priemon</a:t>
          </a:r>
          <a:r>
            <a:rPr kumimoji="0" lang="lt-LT" sz="1400" b="0" i="0" u="none" strike="noStrike" kern="100" cap="none" spc="0" normalizeH="0" baseline="0" noProof="0">
              <a:ln>
                <a:noFill/>
              </a:ln>
              <a:solidFill>
                <a:schemeClr val="accent3">
                  <a:lumMod val="25000"/>
                </a:schemeClr>
              </a:solidFill>
              <a:effectLst/>
              <a:uLnTx/>
              <a:uFillTx/>
              <a:latin typeface="Calibri" panose="020F0502020204030204" pitchFamily="34" charset="0"/>
              <a:ea typeface="Calibri" panose="020F0502020204030204" pitchFamily="34" charset="0"/>
              <a:cs typeface="Times New Roman" panose="02020603050405020304" pitchFamily="18" charset="0"/>
            </a:rPr>
            <a:t>ės klasė: </a:t>
          </a:r>
          <a:r>
            <a:rPr kumimoji="0" lang="lt-LT" sz="1400" b="0" i="0" u="none" strike="noStrike" kern="100" cap="none" spc="0" normalizeH="0" baseline="0" noProof="0">
              <a:ln>
                <a:noFill/>
              </a:ln>
              <a:solidFill>
                <a:srgbClr val="F4FAF6">
                  <a:lumMod val="25000"/>
                </a:srgbClr>
              </a:solidFill>
              <a:effectLst/>
              <a:uLnTx/>
              <a:uFillTx/>
              <a:latin typeface="Calibri" panose="020F0502020204030204" pitchFamily="34" charset="0"/>
              <a:ea typeface="Calibri" panose="020F0502020204030204" pitchFamily="34" charset="0"/>
              <a:cs typeface="Times New Roman" panose="02020603050405020304" pitchFamily="18" charset="0"/>
            </a:rPr>
            <a:t>pasirinkite reikalingas parinktis iš pateikiamų išplečiamųjų sąrašų.</a:t>
          </a:r>
          <a:endParaRPr kumimoji="0" lang="lt-LT" sz="1400" b="0" i="0" u="none" strike="noStrike" kern="100" cap="none" spc="0" normalizeH="0" baseline="0" noProof="0">
            <a:ln>
              <a:noFill/>
            </a:ln>
            <a:solidFill>
              <a:schemeClr val="accent3">
                <a:lumMod val="25000"/>
              </a:schemeClr>
            </a:solidFill>
            <a:effectLst/>
            <a:uLnTx/>
            <a:uFillTx/>
            <a:latin typeface="Calibri" panose="020F0502020204030204" pitchFamily="34" charset="0"/>
            <a:ea typeface="Calibri" panose="020F0502020204030204" pitchFamily="34" charset="0"/>
            <a:cs typeface="Times New Roman" panose="02020603050405020304" pitchFamily="18" charset="0"/>
          </a:endParaRPr>
        </a:p>
        <a:p>
          <a:pPr marL="285750" marR="0" lvl="0" indent="-285750" defTabSz="914400" eaLnBrk="1" fontAlgn="auto" latinLnBrk="0" hangingPunct="1">
            <a:lnSpc>
              <a:spcPct val="150000"/>
            </a:lnSpc>
            <a:spcBef>
              <a:spcPts val="0"/>
            </a:spcBef>
            <a:spcAft>
              <a:spcPts val="500"/>
            </a:spcAft>
            <a:buClrTx/>
            <a:buSzTx/>
            <a:buFont typeface="Courier New" panose="02070309020205020404" pitchFamily="49" charset="0"/>
            <a:buChar char="o"/>
            <a:tabLst/>
            <a:defRPr/>
          </a:pPr>
          <a:r>
            <a:rPr kumimoji="0" lang="lt-LT" sz="1400" b="0" i="0" u="none" strike="noStrike" kern="100" cap="none" spc="0" normalizeH="0" baseline="0" noProof="0">
              <a:ln>
                <a:noFill/>
              </a:ln>
              <a:solidFill>
                <a:srgbClr val="F4FAF6">
                  <a:lumMod val="25000"/>
                </a:srgbClr>
              </a:solidFill>
              <a:effectLst/>
              <a:uLnTx/>
              <a:uFillTx/>
              <a:latin typeface="Calibri" panose="020F0502020204030204" pitchFamily="34" charset="0"/>
              <a:ea typeface="Calibri" panose="020F0502020204030204" pitchFamily="34" charset="0"/>
              <a:cs typeface="Times New Roman" panose="02020603050405020304" pitchFamily="18" charset="0"/>
            </a:rPr>
            <a:t>Bendras transporto pr</a:t>
          </a:r>
          <a:r>
            <a:rPr kumimoji="0" lang="en-US" sz="1400" b="0" i="0" u="none" strike="noStrike" kern="100" cap="none" spc="0" normalizeH="0" baseline="0" noProof="0">
              <a:ln>
                <a:noFill/>
              </a:ln>
              <a:solidFill>
                <a:srgbClr val="F4FAF6">
                  <a:lumMod val="25000"/>
                </a:srgbClr>
              </a:solidFill>
              <a:effectLst/>
              <a:uLnTx/>
              <a:uFillTx/>
              <a:latin typeface="Calibri" panose="020F0502020204030204" pitchFamily="34" charset="0"/>
              <a:ea typeface="Calibri" panose="020F0502020204030204" pitchFamily="34" charset="0"/>
              <a:cs typeface="Times New Roman" panose="02020603050405020304" pitchFamily="18" charset="0"/>
            </a:rPr>
            <a:t>ie</a:t>
          </a:r>
          <a:r>
            <a:rPr kumimoji="0" lang="lt-LT" sz="1400" b="0" i="0" u="none" strike="noStrike" kern="100" cap="none" spc="0" normalizeH="0" baseline="0" noProof="0">
              <a:ln>
                <a:noFill/>
              </a:ln>
              <a:solidFill>
                <a:srgbClr val="F4FAF6">
                  <a:lumMod val="25000"/>
                </a:srgbClr>
              </a:solidFill>
              <a:effectLst/>
              <a:uLnTx/>
              <a:uFillTx/>
              <a:latin typeface="Calibri" panose="020F0502020204030204" pitchFamily="34" charset="0"/>
              <a:ea typeface="Calibri" panose="020F0502020204030204" pitchFamily="34" charset="0"/>
              <a:cs typeface="Times New Roman" panose="02020603050405020304" pitchFamily="18" charset="0"/>
            </a:rPr>
            <a:t>monių skaičius, vnt.: įveskite reikšmę. Įvesties palengvinimui lape "Skaičiuoklė" pateikta lentelė "Transporto priemonių skaičiaus (vnt.) registras". </a:t>
          </a:r>
          <a:endParaRPr kumimoji="0" lang="lt-LT" sz="1400" b="0" i="0" u="none" strike="noStrike" kern="100" cap="none" spc="0" normalizeH="0" baseline="0" noProof="0">
            <a:ln>
              <a:noFill/>
            </a:ln>
            <a:solidFill>
              <a:schemeClr val="accent3">
                <a:lumMod val="25000"/>
              </a:schemeClr>
            </a:solidFill>
            <a:effectLst/>
            <a:uLnTx/>
            <a:uFillTx/>
            <a:latin typeface="Calibri" panose="020F0502020204030204" pitchFamily="34" charset="0"/>
            <a:ea typeface="Calibri" panose="020F0502020204030204" pitchFamily="34" charset="0"/>
            <a:cs typeface="Times New Roman" panose="02020603050405020304" pitchFamily="18" charset="0"/>
          </a:endParaRPr>
        </a:p>
        <a:p>
          <a:pPr marL="0" marR="0" lvl="0" indent="0" defTabSz="914400" eaLnBrk="1" fontAlgn="auto" latinLnBrk="0" hangingPunct="1">
            <a:lnSpc>
              <a:spcPct val="150000"/>
            </a:lnSpc>
            <a:spcBef>
              <a:spcPts val="0"/>
            </a:spcBef>
            <a:spcAft>
              <a:spcPts val="500"/>
            </a:spcAft>
            <a:buClrTx/>
            <a:buSzTx/>
            <a:buFontTx/>
            <a:buNone/>
            <a:tabLst/>
            <a:defRPr/>
          </a:pPr>
          <a:r>
            <a:rPr kumimoji="0" lang="en-US" sz="1400" b="1" i="0" u="none" strike="noStrike" kern="100" cap="none" spc="0" normalizeH="0" baseline="0" noProof="0">
              <a:ln>
                <a:noFill/>
              </a:ln>
              <a:solidFill>
                <a:schemeClr val="accent3">
                  <a:lumMod val="25000"/>
                </a:schemeClr>
              </a:solidFill>
              <a:effectLst/>
              <a:uLnTx/>
              <a:uFillTx/>
              <a:latin typeface="Calibri" panose="020F0502020204030204" pitchFamily="34" charset="0"/>
              <a:ea typeface="Calibri" panose="020F0502020204030204" pitchFamily="34" charset="0"/>
              <a:cs typeface="Times New Roman" panose="02020603050405020304" pitchFamily="18" charset="0"/>
            </a:rPr>
            <a:t>2.3. </a:t>
          </a:r>
          <a:r>
            <a:rPr kumimoji="0" lang="lt-LT" sz="1400" b="1" i="0" u="none" strike="noStrike" kern="100" cap="none" spc="0" normalizeH="0" baseline="0" noProof="0">
              <a:ln>
                <a:noFill/>
              </a:ln>
              <a:solidFill>
                <a:schemeClr val="accent3">
                  <a:lumMod val="25000"/>
                </a:schemeClr>
              </a:solidFill>
              <a:effectLst/>
              <a:uLnTx/>
              <a:uFillTx/>
              <a:latin typeface="Calibri" panose="020F0502020204030204" pitchFamily="34" charset="0"/>
              <a:ea typeface="Calibri" panose="020F0502020204030204" pitchFamily="34" charset="0"/>
              <a:cs typeface="Times New Roman" panose="02020603050405020304" pitchFamily="18" charset="0"/>
            </a:rPr>
            <a:t>Reguliuojamo veiklos rodiklio parame</a:t>
          </a:r>
          <a:r>
            <a:rPr kumimoji="0" lang="en-US" sz="1400" b="1" i="0" u="none" strike="noStrike" kern="100" cap="none" spc="0" normalizeH="0" baseline="0" noProof="0">
              <a:ln>
                <a:noFill/>
              </a:ln>
              <a:solidFill>
                <a:schemeClr val="accent3">
                  <a:lumMod val="25000"/>
                </a:schemeClr>
              </a:solidFill>
              <a:effectLst/>
              <a:uLnTx/>
              <a:uFillTx/>
              <a:latin typeface="Calibri" panose="020F0502020204030204" pitchFamily="34" charset="0"/>
              <a:ea typeface="Calibri" panose="020F0502020204030204" pitchFamily="34" charset="0"/>
              <a:cs typeface="Times New Roman" panose="02020603050405020304" pitchFamily="18" charset="0"/>
            </a:rPr>
            <a:t>tr</a:t>
          </a:r>
          <a:r>
            <a:rPr kumimoji="0" lang="lt-LT" sz="1400" b="1" i="0" u="none" strike="noStrike" kern="100" cap="none" spc="0" normalizeH="0" baseline="0" noProof="0">
              <a:ln>
                <a:noFill/>
              </a:ln>
              <a:solidFill>
                <a:schemeClr val="accent3">
                  <a:lumMod val="25000"/>
                </a:schemeClr>
              </a:solidFill>
              <a:effectLst/>
              <a:uLnTx/>
              <a:uFillTx/>
              <a:latin typeface="Calibri" panose="020F0502020204030204" pitchFamily="34" charset="0"/>
              <a:ea typeface="Calibri" panose="020F0502020204030204" pitchFamily="34" charset="0"/>
              <a:cs typeface="Times New Roman" panose="02020603050405020304" pitchFamily="18" charset="0"/>
            </a:rPr>
            <a:t>ų įvedimas</a:t>
          </a:r>
        </a:p>
        <a:p>
          <a:pPr marL="285750" marR="0" lvl="0" indent="-285750" defTabSz="914400" eaLnBrk="1" fontAlgn="auto" latinLnBrk="0" hangingPunct="1">
            <a:lnSpc>
              <a:spcPct val="150000"/>
            </a:lnSpc>
            <a:spcBef>
              <a:spcPts val="0"/>
            </a:spcBef>
            <a:spcAft>
              <a:spcPts val="500"/>
            </a:spcAft>
            <a:buClrTx/>
            <a:buSzTx/>
            <a:buFont typeface="Courier New" panose="02070309020205020404" pitchFamily="49" charset="0"/>
            <a:buChar char="o"/>
            <a:tabLst/>
            <a:defRPr/>
          </a:pPr>
          <a:r>
            <a:rPr kumimoji="0" lang="lt-LT" sz="1400" b="0" i="0" u="none" strike="noStrike" kern="100" cap="none" spc="0" normalizeH="0" baseline="0" noProof="0">
              <a:ln>
                <a:noFill/>
              </a:ln>
              <a:solidFill>
                <a:schemeClr val="accent3">
                  <a:lumMod val="25000"/>
                </a:schemeClr>
              </a:solidFill>
              <a:effectLst/>
              <a:uLnTx/>
              <a:uFillTx/>
              <a:latin typeface="Calibri" panose="020F0502020204030204" pitchFamily="34" charset="0"/>
              <a:ea typeface="Calibri" panose="020F0502020204030204" pitchFamily="34" charset="0"/>
              <a:cs typeface="Times New Roman" panose="02020603050405020304" pitchFamily="18" charset="0"/>
            </a:rPr>
            <a:t>Bazinė </a:t>
          </a:r>
          <a:r>
            <a:rPr kumimoji="0" lang="lt-LT" sz="1400" b="0" i="0" u="none" strike="noStrike" kern="100" cap="none" spc="0" normalizeH="0" baseline="0" noProof="0">
              <a:ln>
                <a:noFill/>
              </a:ln>
              <a:solidFill>
                <a:srgbClr val="F4FAF6">
                  <a:lumMod val="25000"/>
                </a:srgbClr>
              </a:solidFill>
              <a:effectLst/>
              <a:uLnTx/>
              <a:uFillTx/>
              <a:latin typeface="Calibri" panose="020F0502020204030204" pitchFamily="34" charset="0"/>
              <a:ea typeface="Calibri" panose="020F0502020204030204" pitchFamily="34" charset="0"/>
              <a:cs typeface="Times New Roman" panose="02020603050405020304" pitchFamily="18" charset="0"/>
            </a:rPr>
            <a:t>degalų rūšis: pasirinkite reikalingas parinktis iš pateikiamų išplečiamųjų sąrašų.</a:t>
          </a:r>
        </a:p>
        <a:p>
          <a:pPr marL="285750" marR="0" lvl="0" indent="-285750" defTabSz="914400" eaLnBrk="1" fontAlgn="auto" latinLnBrk="0" hangingPunct="1">
            <a:lnSpc>
              <a:spcPct val="150000"/>
            </a:lnSpc>
            <a:spcBef>
              <a:spcPts val="0"/>
            </a:spcBef>
            <a:spcAft>
              <a:spcPts val="1500"/>
            </a:spcAft>
            <a:buClrTx/>
            <a:buSzTx/>
            <a:buFont typeface="Courier New" panose="02070309020205020404" pitchFamily="49" charset="0"/>
            <a:buChar char="o"/>
            <a:tabLst/>
            <a:defRPr/>
          </a:pPr>
          <a:r>
            <a:rPr kumimoji="0" lang="lt-LT" sz="1400" b="0" i="0" u="none" strike="noStrike" kern="100" cap="none" spc="0" normalizeH="0" baseline="0" noProof="0">
              <a:ln>
                <a:noFill/>
              </a:ln>
              <a:solidFill>
                <a:srgbClr val="F4FAF6">
                  <a:lumMod val="25000"/>
                </a:srgbClr>
              </a:solidFill>
              <a:effectLst/>
              <a:uLnTx/>
              <a:uFillTx/>
              <a:latin typeface="Calibri" panose="020F0502020204030204" pitchFamily="34" charset="0"/>
              <a:ea typeface="Calibri" panose="020F0502020204030204" pitchFamily="34" charset="0"/>
              <a:cs typeface="Times New Roman" panose="02020603050405020304" pitchFamily="18" charset="0"/>
            </a:rPr>
            <a:t>Bazinis emisijų standartas: pasirinkite reikalingas parinktis iš pateikiamų išplečiamųjų sąrašų.</a:t>
          </a:r>
        </a:p>
        <a:p>
          <a:pPr marL="285750" marR="0" lvl="0" indent="-285750" defTabSz="914400" eaLnBrk="1" fontAlgn="auto" latinLnBrk="0" hangingPunct="1">
            <a:lnSpc>
              <a:spcPct val="150000"/>
            </a:lnSpc>
            <a:spcBef>
              <a:spcPts val="0"/>
            </a:spcBef>
            <a:spcAft>
              <a:spcPts val="500"/>
            </a:spcAft>
            <a:buClrTx/>
            <a:buSzTx/>
            <a:buFont typeface="Courier New" panose="02070309020205020404" pitchFamily="49" charset="0"/>
            <a:buChar char="o"/>
            <a:tabLst/>
            <a:defRPr/>
          </a:pPr>
          <a:r>
            <a:rPr kumimoji="0" lang="lt-LT" sz="1400" b="0" i="0" u="none" strike="noStrike" kern="100" cap="none" spc="0" normalizeH="0" baseline="0" noProof="0">
              <a:ln>
                <a:noFill/>
              </a:ln>
              <a:solidFill>
                <a:schemeClr val="accent3">
                  <a:lumMod val="25000"/>
                </a:schemeClr>
              </a:solidFill>
              <a:effectLst/>
              <a:uLnTx/>
              <a:uFillTx/>
              <a:latin typeface="Calibri" panose="020F0502020204030204" pitchFamily="34" charset="0"/>
              <a:ea typeface="Calibri" panose="020F0502020204030204" pitchFamily="34" charset="0"/>
              <a:cs typeface="Times New Roman" panose="02020603050405020304" pitchFamily="18" charset="0"/>
            </a:rPr>
            <a:t>Projektinė </a:t>
          </a:r>
          <a:r>
            <a:rPr kumimoji="0" lang="lt-LT" sz="1400" b="0" i="0" u="none" strike="noStrike" kern="100" cap="none" spc="0" normalizeH="0" baseline="0" noProof="0">
              <a:ln>
                <a:noFill/>
              </a:ln>
              <a:solidFill>
                <a:srgbClr val="F4FAF6">
                  <a:lumMod val="25000"/>
                </a:srgbClr>
              </a:solidFill>
              <a:effectLst/>
              <a:uLnTx/>
              <a:uFillTx/>
              <a:latin typeface="Calibri" panose="020F0502020204030204" pitchFamily="34" charset="0"/>
              <a:ea typeface="Calibri" panose="020F0502020204030204" pitchFamily="34" charset="0"/>
              <a:cs typeface="Times New Roman" panose="02020603050405020304" pitchFamily="18" charset="0"/>
            </a:rPr>
            <a:t>degalų rūšis: pasirinkite reikalingas parinktis iš pateikiamų išplečiamųjų sąrašų.</a:t>
          </a:r>
        </a:p>
        <a:p>
          <a:pPr marL="285750" marR="0" lvl="0" indent="-285750" defTabSz="914400" eaLnBrk="1" fontAlgn="auto" latinLnBrk="0" hangingPunct="1">
            <a:lnSpc>
              <a:spcPct val="150000"/>
            </a:lnSpc>
            <a:spcBef>
              <a:spcPts val="0"/>
            </a:spcBef>
            <a:spcAft>
              <a:spcPts val="2000"/>
            </a:spcAft>
            <a:buClrTx/>
            <a:buSzTx/>
            <a:buFont typeface="Courier New" panose="02070309020205020404" pitchFamily="49" charset="0"/>
            <a:buChar char="o"/>
            <a:tabLst/>
            <a:defRPr/>
          </a:pPr>
          <a:r>
            <a:rPr kumimoji="0" lang="lt-LT" sz="1400" b="0" i="0" u="none" strike="noStrike" kern="100" cap="none" spc="0" normalizeH="0" baseline="0" noProof="0">
              <a:ln>
                <a:noFill/>
              </a:ln>
              <a:solidFill>
                <a:srgbClr val="F4FAF6">
                  <a:lumMod val="25000"/>
                </a:srgbClr>
              </a:solidFill>
              <a:effectLst/>
              <a:uLnTx/>
              <a:uFillTx/>
              <a:latin typeface="Calibri" panose="020F0502020204030204" pitchFamily="34" charset="0"/>
              <a:ea typeface="Calibri" panose="020F0502020204030204" pitchFamily="34" charset="0"/>
              <a:cs typeface="Times New Roman" panose="02020603050405020304" pitchFamily="18" charset="0"/>
            </a:rPr>
            <a:t>Projektinis emisijų standartas: pasirinkite reikalingas parinktis iš pateikiamų išplečiamųjų sąrašų.</a:t>
          </a:r>
        </a:p>
        <a:p>
          <a:pPr marL="0" marR="0" lvl="0" indent="0" defTabSz="914400" eaLnBrk="1" fontAlgn="auto" latinLnBrk="0" hangingPunct="1">
            <a:lnSpc>
              <a:spcPct val="150000"/>
            </a:lnSpc>
            <a:spcBef>
              <a:spcPts val="0"/>
            </a:spcBef>
            <a:spcAft>
              <a:spcPts val="500"/>
            </a:spcAft>
            <a:buClrTx/>
            <a:buSzTx/>
            <a:buFontTx/>
            <a:buNone/>
            <a:tabLst/>
            <a:defRPr/>
          </a:pPr>
          <a:r>
            <a:rPr kumimoji="0" lang="lt-LT" sz="1400" b="0" i="0" u="none" strike="noStrike" kern="100" cap="none" spc="0" normalizeH="0" baseline="0" noProof="0">
              <a:ln>
                <a:noFill/>
              </a:ln>
              <a:solidFill>
                <a:srgbClr val="F4FAF6">
                  <a:lumMod val="25000"/>
                </a:srgbClr>
              </a:solidFill>
              <a:effectLst/>
              <a:uLnTx/>
              <a:uFillTx/>
              <a:latin typeface="Calibri" panose="020F0502020204030204" pitchFamily="34" charset="0"/>
              <a:ea typeface="Calibri" panose="020F0502020204030204" pitchFamily="34" charset="0"/>
              <a:cs typeface="Times New Roman" panose="02020603050405020304" pitchFamily="18" charset="0"/>
            </a:rPr>
            <a:t>Jei emisijų standarto nežinote, jį galite nustatyti pagal transporto priemonės pagaminimo metus:  </a:t>
          </a:r>
          <a:r>
            <a:rPr kumimoji="0" lang="lt-LT" sz="1400" b="0" i="0" u="sng" strike="noStrike" kern="0" cap="none" spc="0" normalizeH="0" baseline="0" noProof="0">
              <a:ln>
                <a:noFill/>
              </a:ln>
              <a:solidFill>
                <a:srgbClr val="F4FAF6">
                  <a:lumMod val="25000"/>
                </a:srgbClr>
              </a:solidFill>
              <a:effectLst/>
              <a:uLnTx/>
              <a:uFillTx/>
              <a:latin typeface="+mn-lt"/>
              <a:ea typeface="+mn-ea"/>
              <a:cs typeface="+mn-cs"/>
              <a:hlinkClick xmlns:r="http://schemas.openxmlformats.org/officeDocument/2006/relationships" r:id="">
                <a:extLst>
                  <a:ext uri="{A12FA001-AC4F-418D-AE19-62706E023703}">
                    <ahyp:hlinkClr xmlns:ahyp="http://schemas.microsoft.com/office/drawing/2018/hyperlinkcolor" val="tx"/>
                  </a:ext>
                </a:extLst>
              </a:hlinkClick>
            </a:rPr>
            <a:t>1.A.3.b.i-iv Road transport 2023 — European Environment Agency (europa.eu)</a:t>
          </a:r>
          <a:endParaRPr kumimoji="0" lang="lt-LT" sz="1400" b="0" i="0" u="none" strike="noStrike" kern="100" cap="none" spc="0" normalizeH="0" baseline="0" noProof="0">
            <a:ln>
              <a:noFill/>
            </a:ln>
            <a:solidFill>
              <a:srgbClr val="F4FAF6">
                <a:lumMod val="25000"/>
              </a:srgbClr>
            </a:solidFill>
            <a:effectLst/>
            <a:uLnTx/>
            <a:uFillTx/>
            <a:latin typeface="Calibri" panose="020F0502020204030204" pitchFamily="34" charset="0"/>
            <a:ea typeface="Calibri" panose="020F0502020204030204" pitchFamily="34" charset="0"/>
            <a:cs typeface="Times New Roman" panose="02020603050405020304" pitchFamily="18" charset="0"/>
          </a:endParaRPr>
        </a:p>
        <a:p>
          <a:pPr eaLnBrk="1" fontAlgn="auto" latinLnBrk="0" hangingPunct="1"/>
          <a:endParaRPr lang="lt-LT" sz="1600" b="1" i="0" baseline="0">
            <a:solidFill>
              <a:srgbClr val="FF0000"/>
            </a:solidFill>
            <a:effectLst/>
            <a:latin typeface="+mn-lt"/>
            <a:ea typeface="+mn-ea"/>
            <a:cs typeface="+mn-cs"/>
          </a:endParaRPr>
        </a:p>
        <a:p>
          <a:pPr eaLnBrk="1" fontAlgn="auto" latinLnBrk="0" hangingPunct="1"/>
          <a:r>
            <a:rPr lang="en-US" sz="1600" b="1" i="0" baseline="0">
              <a:solidFill>
                <a:schemeClr val="accent3">
                  <a:lumMod val="25000"/>
                </a:schemeClr>
              </a:solidFill>
              <a:effectLst/>
              <a:latin typeface="+mn-lt"/>
              <a:ea typeface="+mn-ea"/>
              <a:cs typeface="+mn-cs"/>
            </a:rPr>
            <a:t>3. </a:t>
          </a:r>
          <a:r>
            <a:rPr lang="lt-LT" sz="1600" b="1" i="0" baseline="0">
              <a:solidFill>
                <a:schemeClr val="accent3">
                  <a:lumMod val="25000"/>
                </a:schemeClr>
              </a:solidFill>
              <a:effectLst/>
              <a:latin typeface="+mn-lt"/>
              <a:ea typeface="+mn-ea"/>
              <a:cs typeface="+mn-cs"/>
            </a:rPr>
            <a:t>Rezultatai ir jų interpretacija</a:t>
          </a:r>
        </a:p>
        <a:p>
          <a:pPr eaLnBrk="1" fontAlgn="auto" latinLnBrk="0" hangingPunct="1"/>
          <a:endParaRPr kumimoji="0" lang="lt-LT" sz="1400" b="0" i="0" u="none" strike="noStrike" kern="100" cap="none" spc="0" normalizeH="0" baseline="0" noProof="0">
            <a:ln>
              <a:noFill/>
            </a:ln>
            <a:solidFill>
              <a:schemeClr val="accent3">
                <a:lumMod val="25000"/>
              </a:schemeClr>
            </a:solidFill>
            <a:effectLst/>
            <a:uLnTx/>
            <a:uFillTx/>
            <a:latin typeface="Calibri" panose="020F0502020204030204" pitchFamily="34" charset="0"/>
            <a:ea typeface="Calibri" panose="020F0502020204030204" pitchFamily="34" charset="0"/>
            <a:cs typeface="Times New Roman" panose="02020603050405020304" pitchFamily="18" charset="0"/>
          </a:endParaRPr>
        </a:p>
        <a:p>
          <a:pPr marL="285750" marR="0" lvl="0" indent="-284400" defTabSz="914400" eaLnBrk="1" fontAlgn="auto" latinLnBrk="0" hangingPunct="1">
            <a:lnSpc>
              <a:spcPct val="150000"/>
            </a:lnSpc>
            <a:spcBef>
              <a:spcPts val="0"/>
            </a:spcBef>
            <a:spcAft>
              <a:spcPts val="0"/>
            </a:spcAft>
            <a:buClrTx/>
            <a:buSzTx/>
            <a:buFont typeface="Courier New" panose="02070309020205020404" pitchFamily="49" charset="0"/>
            <a:buChar char="o"/>
            <a:tabLst/>
            <a:defRPr/>
          </a:pPr>
          <a:r>
            <a:rPr lang="lt-LT" sz="1400" b="0" i="0" baseline="0">
              <a:solidFill>
                <a:schemeClr val="accent3">
                  <a:lumMod val="25000"/>
                </a:schemeClr>
              </a:solidFill>
              <a:effectLst/>
              <a:latin typeface="+mn-lt"/>
              <a:ea typeface="+mn-ea"/>
              <a:cs typeface="+mn-cs"/>
            </a:rPr>
            <a:t>Pagal pateiktus duomenis, skaičiuoklė </a:t>
          </a:r>
          <a:r>
            <a:rPr lang="lt-LT" sz="1400" b="1" i="0" baseline="0">
              <a:solidFill>
                <a:schemeClr val="accent3">
                  <a:lumMod val="25000"/>
                </a:schemeClr>
              </a:solidFill>
              <a:effectLst/>
              <a:latin typeface="+mn-lt"/>
              <a:ea typeface="+mn-ea"/>
              <a:cs typeface="+mn-cs"/>
            </a:rPr>
            <a:t>automatiškai</a:t>
          </a:r>
          <a:r>
            <a:rPr lang="lt-LT" sz="1400" b="0" i="0" baseline="0">
              <a:solidFill>
                <a:schemeClr val="accent3">
                  <a:lumMod val="25000"/>
                </a:schemeClr>
              </a:solidFill>
              <a:effectLst/>
              <a:latin typeface="+mn-lt"/>
              <a:ea typeface="+mn-ea"/>
              <a:cs typeface="+mn-cs"/>
            </a:rPr>
            <a:t> apskaičiuoja 1) kiekvieno analizuojamo varianto </a:t>
          </a:r>
          <a:r>
            <a:rPr lang="lt-LT" sz="1400">
              <a:solidFill>
                <a:schemeClr val="accent3">
                  <a:lumMod val="25000"/>
                </a:schemeClr>
              </a:solidFill>
              <a:effectLst/>
              <a:latin typeface="+mn-lt"/>
              <a:ea typeface="+mn-ea"/>
              <a:cs typeface="+mn-cs"/>
            </a:rPr>
            <a:t>NO</a:t>
          </a:r>
          <a:r>
            <a:rPr lang="lt-LT" sz="1400" baseline="-25000">
              <a:solidFill>
                <a:schemeClr val="accent3">
                  <a:lumMod val="25000"/>
                </a:schemeClr>
              </a:solidFill>
              <a:effectLst/>
              <a:latin typeface="+mn-lt"/>
              <a:ea typeface="+mn-ea"/>
              <a:cs typeface="+mn-cs"/>
            </a:rPr>
            <a:t>x</a:t>
          </a:r>
          <a:r>
            <a:rPr lang="lt-LT" sz="1400">
              <a:solidFill>
                <a:schemeClr val="accent3">
                  <a:lumMod val="25000"/>
                </a:schemeClr>
              </a:solidFill>
              <a:effectLst/>
              <a:latin typeface="+mn-lt"/>
              <a:ea typeface="+mn-ea"/>
              <a:cs typeface="+mn-cs"/>
            </a:rPr>
            <a:t>, NMLOJ, KD</a:t>
          </a:r>
          <a:r>
            <a:rPr lang="en-US" sz="1400">
              <a:solidFill>
                <a:schemeClr val="accent3">
                  <a:lumMod val="25000"/>
                </a:schemeClr>
              </a:solidFill>
              <a:effectLst/>
              <a:latin typeface="+mn-lt"/>
              <a:ea typeface="+mn-ea"/>
              <a:cs typeface="+mn-cs"/>
            </a:rPr>
            <a:t>2.5, NH</a:t>
          </a:r>
          <a:r>
            <a:rPr lang="en-US" sz="1400" baseline="-25000">
              <a:solidFill>
                <a:schemeClr val="accent3">
                  <a:lumMod val="25000"/>
                </a:schemeClr>
              </a:solidFill>
              <a:effectLst/>
              <a:latin typeface="+mn-lt"/>
              <a:ea typeface="+mn-ea"/>
              <a:cs typeface="+mn-cs"/>
            </a:rPr>
            <a:t>3</a:t>
          </a:r>
          <a:r>
            <a:rPr lang="en-US" sz="1400">
              <a:solidFill>
                <a:schemeClr val="accent3">
                  <a:lumMod val="25000"/>
                </a:schemeClr>
              </a:solidFill>
              <a:effectLst/>
              <a:latin typeface="+mn-lt"/>
              <a:ea typeface="+mn-ea"/>
              <a:cs typeface="+mn-cs"/>
            </a:rPr>
            <a:t> </a:t>
          </a:r>
          <a:r>
            <a:rPr lang="lt-LT" sz="1400" b="0" i="0" baseline="0">
              <a:solidFill>
                <a:schemeClr val="accent3">
                  <a:lumMod val="25000"/>
                </a:schemeClr>
              </a:solidFill>
              <a:effectLst/>
              <a:latin typeface="+mn-lt"/>
              <a:ea typeface="+mn-ea"/>
              <a:cs typeface="+mn-cs"/>
            </a:rPr>
            <a:t>kiekių pokyčius, 2) visų analizuotų variantų </a:t>
          </a:r>
          <a:r>
            <a:rPr lang="lt-LT" sz="1400">
              <a:solidFill>
                <a:schemeClr val="accent3">
                  <a:lumMod val="25000"/>
                </a:schemeClr>
              </a:solidFill>
              <a:effectLst/>
              <a:latin typeface="+mn-lt"/>
              <a:ea typeface="+mn-ea"/>
              <a:cs typeface="+mn-cs"/>
            </a:rPr>
            <a:t>NO</a:t>
          </a:r>
          <a:r>
            <a:rPr lang="lt-LT" sz="1400" baseline="-25000">
              <a:solidFill>
                <a:schemeClr val="accent3">
                  <a:lumMod val="25000"/>
                </a:schemeClr>
              </a:solidFill>
              <a:effectLst/>
              <a:latin typeface="+mn-lt"/>
              <a:ea typeface="+mn-ea"/>
              <a:cs typeface="+mn-cs"/>
            </a:rPr>
            <a:t>x</a:t>
          </a:r>
          <a:r>
            <a:rPr lang="lt-LT" sz="1400">
              <a:solidFill>
                <a:schemeClr val="accent3">
                  <a:lumMod val="25000"/>
                </a:schemeClr>
              </a:solidFill>
              <a:effectLst/>
              <a:latin typeface="+mn-lt"/>
              <a:ea typeface="+mn-ea"/>
              <a:cs typeface="+mn-cs"/>
            </a:rPr>
            <a:t>, NMLOJ, KD</a:t>
          </a:r>
          <a:r>
            <a:rPr lang="en-US" sz="1400">
              <a:solidFill>
                <a:schemeClr val="accent3">
                  <a:lumMod val="25000"/>
                </a:schemeClr>
              </a:solidFill>
              <a:effectLst/>
              <a:latin typeface="+mn-lt"/>
              <a:ea typeface="+mn-ea"/>
              <a:cs typeface="+mn-cs"/>
            </a:rPr>
            <a:t>2.5, NH</a:t>
          </a:r>
          <a:r>
            <a:rPr lang="en-US" sz="1400" baseline="-25000">
              <a:solidFill>
                <a:schemeClr val="accent3">
                  <a:lumMod val="25000"/>
                </a:schemeClr>
              </a:solidFill>
              <a:effectLst/>
              <a:latin typeface="+mn-lt"/>
              <a:ea typeface="+mn-ea"/>
              <a:cs typeface="+mn-cs"/>
            </a:rPr>
            <a:t>3</a:t>
          </a:r>
          <a:r>
            <a:rPr lang="lt-LT" sz="1400" b="0" i="0" baseline="0">
              <a:solidFill>
                <a:schemeClr val="accent3">
                  <a:lumMod val="25000"/>
                </a:schemeClr>
              </a:solidFill>
              <a:effectLst/>
              <a:latin typeface="+mn-lt"/>
              <a:ea typeface="+mn-ea"/>
              <a:cs typeface="+mn-cs"/>
            </a:rPr>
            <a:t> kiekių pokyčių sumą.  </a:t>
          </a:r>
        </a:p>
        <a:p>
          <a:pPr marL="285750" marR="0" lvl="0" indent="-284400" defTabSz="914400" eaLnBrk="1" fontAlgn="auto" latinLnBrk="0" hangingPunct="1">
            <a:lnSpc>
              <a:spcPct val="150000"/>
            </a:lnSpc>
            <a:spcBef>
              <a:spcPts val="0"/>
            </a:spcBef>
            <a:spcAft>
              <a:spcPts val="0"/>
            </a:spcAft>
            <a:buClrTx/>
            <a:buSzTx/>
            <a:buFont typeface="Courier New" panose="02070309020205020404" pitchFamily="49" charset="0"/>
            <a:buChar char="o"/>
            <a:tabLst/>
            <a:defRPr/>
          </a:pPr>
          <a:r>
            <a:rPr lang="lt-LT" sz="1400" b="0" i="0" baseline="0">
              <a:solidFill>
                <a:schemeClr val="accent3">
                  <a:lumMod val="25000"/>
                </a:schemeClr>
              </a:solidFill>
              <a:effectLst/>
              <a:latin typeface="+mn-lt"/>
              <a:ea typeface="+mn-ea"/>
              <a:cs typeface="+mn-cs"/>
            </a:rPr>
            <a:t>Skaičiuoklės </a:t>
          </a:r>
          <a:r>
            <a:rPr lang="lt-LT" sz="1400" b="1" i="0" baseline="0">
              <a:solidFill>
                <a:schemeClr val="accent3">
                  <a:lumMod val="25000"/>
                </a:schemeClr>
              </a:solidFill>
              <a:effectLst/>
              <a:latin typeface="+mn-lt"/>
              <a:ea typeface="+mn-ea"/>
              <a:cs typeface="+mn-cs"/>
            </a:rPr>
            <a:t>rezultatai</a:t>
          </a:r>
          <a:r>
            <a:rPr lang="lt-LT" sz="1400" b="0" i="0" baseline="0">
              <a:solidFill>
                <a:schemeClr val="accent3">
                  <a:lumMod val="25000"/>
                </a:schemeClr>
              </a:solidFill>
              <a:effectLst/>
              <a:latin typeface="+mn-lt"/>
              <a:ea typeface="+mn-ea"/>
              <a:cs typeface="+mn-cs"/>
            </a:rPr>
            <a:t> yra </a:t>
          </a:r>
          <a:r>
            <a:rPr lang="lt-LT" sz="1400" b="1" i="0" baseline="0">
              <a:solidFill>
                <a:schemeClr val="accent3">
                  <a:lumMod val="25000"/>
                </a:schemeClr>
              </a:solidFill>
              <a:effectLst/>
              <a:latin typeface="+mn-lt"/>
              <a:ea typeface="+mn-ea"/>
              <a:cs typeface="+mn-cs"/>
            </a:rPr>
            <a:t>apytiksliai</a:t>
          </a:r>
          <a:r>
            <a:rPr lang="lt-LT" sz="1400" b="0" i="0" baseline="0">
              <a:solidFill>
                <a:schemeClr val="accent3">
                  <a:lumMod val="25000"/>
                </a:schemeClr>
              </a:solidFill>
              <a:effectLst/>
              <a:latin typeface="+mn-lt"/>
              <a:ea typeface="+mn-ea"/>
              <a:cs typeface="+mn-cs"/>
            </a:rPr>
            <a:t>.</a:t>
          </a:r>
          <a:endParaRPr lang="lt-LT" sz="1400">
            <a:solidFill>
              <a:schemeClr val="accent3">
                <a:lumMod val="25000"/>
              </a:schemeClr>
            </a:solidFill>
            <a:effectLst/>
          </a:endParaRPr>
        </a:p>
        <a:p>
          <a:pPr marL="171450" indent="-284400" eaLnBrk="1" fontAlgn="auto" latinLnBrk="0" hangingPunct="1">
            <a:lnSpc>
              <a:spcPct val="150000"/>
            </a:lnSpc>
            <a:buFont typeface="Courier New" panose="02070309020205020404" pitchFamily="49" charset="0"/>
            <a:buChar char="o"/>
          </a:pPr>
          <a:r>
            <a:rPr lang="lt-LT" sz="1400" b="0" i="0" baseline="0">
              <a:solidFill>
                <a:schemeClr val="accent3">
                  <a:lumMod val="25000"/>
                </a:schemeClr>
              </a:solidFill>
              <a:effectLst/>
              <a:latin typeface="+mn-lt"/>
              <a:ea typeface="+mn-ea"/>
              <a:cs typeface="+mn-cs"/>
            </a:rPr>
            <a:t>Šalia skaičiuoklės esantis grafikas vizualiai parodo oro teršalų kiekių pokyčių pasiskirstymą analizuotuose variantuose. </a:t>
          </a:r>
          <a:endParaRPr lang="lt-LT" sz="1400">
            <a:solidFill>
              <a:schemeClr val="accent3">
                <a:lumMod val="25000"/>
              </a:schemeClr>
            </a:solidFill>
            <a:effectLst/>
          </a:endParaRPr>
        </a:p>
        <a:p>
          <a:pPr marL="285750" marR="0" lvl="0" indent="-285750" defTabSz="914400" eaLnBrk="1" fontAlgn="auto" latinLnBrk="0" hangingPunct="1">
            <a:lnSpc>
              <a:spcPct val="150000"/>
            </a:lnSpc>
            <a:spcBef>
              <a:spcPts val="0"/>
            </a:spcBef>
            <a:spcAft>
              <a:spcPts val="0"/>
            </a:spcAft>
            <a:buClrTx/>
            <a:buSzTx/>
            <a:buFont typeface="Courier New" panose="02070309020205020404" pitchFamily="49" charset="0"/>
            <a:buChar char="o"/>
            <a:tabLst/>
            <a:defRPr/>
          </a:pPr>
          <a:r>
            <a:rPr kumimoji="0" lang="lt-LT" sz="1400" b="1" i="0" u="none" strike="noStrike" kern="0" cap="none" spc="0" normalizeH="0" baseline="0" noProof="0">
              <a:ln>
                <a:noFill/>
              </a:ln>
              <a:solidFill>
                <a:srgbClr val="F4FAF6">
                  <a:lumMod val="25000"/>
                </a:srgbClr>
              </a:solidFill>
              <a:effectLst/>
              <a:uLnTx/>
              <a:uFillTx/>
              <a:latin typeface="+mn-lt"/>
              <a:ea typeface="+mn-ea"/>
              <a:cs typeface="+mn-cs"/>
            </a:rPr>
            <a:t>Teigiama</a:t>
          </a:r>
          <a:r>
            <a:rPr kumimoji="0" lang="lt-LT" sz="1400" b="0" i="0" u="none" strike="noStrike" kern="0" cap="none" spc="0" normalizeH="0" baseline="0" noProof="0">
              <a:ln>
                <a:noFill/>
              </a:ln>
              <a:solidFill>
                <a:srgbClr val="F4FAF6">
                  <a:lumMod val="25000"/>
                </a:srgbClr>
              </a:solidFill>
              <a:effectLst/>
              <a:uLnTx/>
              <a:uFillTx/>
              <a:latin typeface="+mn-lt"/>
              <a:ea typeface="+mn-ea"/>
              <a:cs typeface="+mn-cs"/>
            </a:rPr>
            <a:t> oro teršalo kiekio </a:t>
          </a:r>
          <a:r>
            <a:rPr kumimoji="0" lang="lt-LT" sz="1400" b="1" i="0" u="none" strike="noStrike" kern="0" cap="none" spc="0" normalizeH="0" baseline="0" noProof="0">
              <a:ln>
                <a:noFill/>
              </a:ln>
              <a:solidFill>
                <a:srgbClr val="F4FAF6">
                  <a:lumMod val="25000"/>
                </a:srgbClr>
              </a:solidFill>
              <a:effectLst/>
              <a:uLnTx/>
              <a:uFillTx/>
              <a:latin typeface="+mn-lt"/>
              <a:ea typeface="+mn-ea"/>
              <a:cs typeface="+mn-cs"/>
            </a:rPr>
            <a:t>pokyčio reikšmė</a:t>
          </a:r>
          <a:r>
            <a:rPr kumimoji="0" lang="en-US" sz="1400" b="1" i="0" u="none" strike="noStrike" kern="0" cap="none" spc="0" normalizeH="0" baseline="0" noProof="0">
              <a:ln>
                <a:noFill/>
              </a:ln>
              <a:solidFill>
                <a:srgbClr val="F4FAF6">
                  <a:lumMod val="25000"/>
                </a:srgbClr>
              </a:solidFill>
              <a:effectLst/>
              <a:uLnTx/>
              <a:uFillTx/>
              <a:latin typeface="+mn-lt"/>
              <a:ea typeface="+mn-ea"/>
              <a:cs typeface="+mn-cs"/>
            </a:rPr>
            <a:t> </a:t>
          </a:r>
          <a:r>
            <a:rPr kumimoji="0" lang="lt-LT" sz="1400" b="0" i="0" u="none" strike="noStrike" kern="0" cap="none" spc="0" normalizeH="0" baseline="0" noProof="0">
              <a:ln>
                <a:noFill/>
              </a:ln>
              <a:solidFill>
                <a:srgbClr val="F4FAF6">
                  <a:lumMod val="25000"/>
                </a:srgbClr>
              </a:solidFill>
              <a:effectLst/>
              <a:uLnTx/>
              <a:uFillTx/>
              <a:latin typeface="+mn-lt"/>
              <a:ea typeface="+mn-ea"/>
              <a:cs typeface="+mn-cs"/>
            </a:rPr>
            <a:t>(</a:t>
          </a:r>
          <a:r>
            <a:rPr kumimoji="0" lang="en-US" sz="1400" b="0" i="0" u="none" strike="noStrike" kern="0" cap="none" spc="0" normalizeH="0" baseline="0" noProof="0">
              <a:ln>
                <a:noFill/>
              </a:ln>
              <a:solidFill>
                <a:srgbClr val="F4FAF6">
                  <a:lumMod val="25000"/>
                </a:srgbClr>
              </a:solidFill>
              <a:effectLst/>
              <a:uLnTx/>
              <a:uFillTx/>
              <a:latin typeface="+mn-lt"/>
              <a:ea typeface="+mn-ea"/>
              <a:cs typeface="+mn-cs"/>
            </a:rPr>
            <a:t>&gt;</a:t>
          </a:r>
          <a:r>
            <a:rPr kumimoji="0" lang="lt-LT" sz="1400" b="0" i="0" u="none" strike="noStrike" kern="0" cap="none" spc="0" normalizeH="0" baseline="0" noProof="0">
              <a:ln>
                <a:noFill/>
              </a:ln>
              <a:solidFill>
                <a:srgbClr val="F4FAF6">
                  <a:lumMod val="25000"/>
                </a:srgbClr>
              </a:solidFill>
              <a:effectLst/>
              <a:uLnTx/>
              <a:uFillTx/>
              <a:latin typeface="+mn-lt"/>
              <a:ea typeface="+mn-ea"/>
              <a:cs typeface="+mn-cs"/>
            </a:rPr>
            <a:t> </a:t>
          </a:r>
          <a:r>
            <a:rPr kumimoji="0" lang="en-US" sz="1400" b="0" i="0" u="none" strike="noStrike" kern="0" cap="none" spc="0" normalizeH="0" baseline="0" noProof="0">
              <a:ln>
                <a:noFill/>
              </a:ln>
              <a:solidFill>
                <a:srgbClr val="F4FAF6">
                  <a:lumMod val="25000"/>
                </a:srgbClr>
              </a:solidFill>
              <a:effectLst/>
              <a:uLnTx/>
              <a:uFillTx/>
              <a:latin typeface="+mn-lt"/>
              <a:ea typeface="+mn-ea"/>
              <a:cs typeface="+mn-cs"/>
            </a:rPr>
            <a:t>0 kt /metus)</a:t>
          </a:r>
          <a:r>
            <a:rPr kumimoji="0" lang="lt-LT" sz="1400" b="0" i="0" u="none" strike="noStrike" kern="0" cap="none" spc="0" normalizeH="0" baseline="0" noProof="0">
              <a:ln>
                <a:noFill/>
              </a:ln>
              <a:solidFill>
                <a:srgbClr val="F4FAF6">
                  <a:lumMod val="25000"/>
                </a:srgbClr>
              </a:solidFill>
              <a:effectLst/>
              <a:uLnTx/>
              <a:uFillTx/>
              <a:latin typeface="+mn-lt"/>
              <a:ea typeface="+mn-ea"/>
              <a:cs typeface="+mn-cs"/>
            </a:rPr>
            <a:t> rodo, kad analizuojama teisėkūros iniciatyva </a:t>
          </a:r>
          <a:r>
            <a:rPr kumimoji="0" lang="lt-LT" sz="1400" b="1" i="0" u="sng" strike="noStrike" kern="0" cap="none" spc="0" normalizeH="0" baseline="0" noProof="0">
              <a:ln>
                <a:noFill/>
              </a:ln>
              <a:solidFill>
                <a:srgbClr val="F4FAF6">
                  <a:lumMod val="25000"/>
                </a:srgbClr>
              </a:solidFill>
              <a:effectLst/>
              <a:uLnTx/>
              <a:uFillTx/>
              <a:latin typeface="+mn-lt"/>
              <a:ea typeface="+mn-ea"/>
              <a:cs typeface="+mn-cs"/>
            </a:rPr>
            <a:t>oro teršalo kiekį mažina </a:t>
          </a:r>
          <a:r>
            <a:rPr kumimoji="0" lang="lt-LT" sz="1400" b="0" i="0" u="none" strike="noStrike" kern="0" cap="none" spc="0" normalizeH="0" baseline="0" noProof="0">
              <a:ln>
                <a:noFill/>
              </a:ln>
              <a:solidFill>
                <a:srgbClr val="F4FAF6">
                  <a:lumMod val="25000"/>
                </a:srgbClr>
              </a:solidFill>
              <a:effectLst/>
              <a:uLnTx/>
              <a:uFillTx/>
              <a:latin typeface="+mn-lt"/>
              <a:ea typeface="+mn-ea"/>
              <a:cs typeface="+mn-cs"/>
            </a:rPr>
            <a:t>( t.y. apskaičiuotas oro teršalo kiekis susidaręs iš projektinio veiklos rodiklio yra mažesnis nei susidaręs iš bazinio veiklos rodiklio ). Daroma prielaida, kad teisėkūros iniciatyvos </a:t>
          </a:r>
          <a:r>
            <a:rPr kumimoji="0" lang="lt-LT" sz="1400" b="1" i="0" u="none" strike="noStrike" kern="0" cap="none" spc="0" normalizeH="0" baseline="0" noProof="0">
              <a:ln>
                <a:noFill/>
              </a:ln>
              <a:solidFill>
                <a:srgbClr val="F4FAF6">
                  <a:lumMod val="25000"/>
                </a:srgbClr>
              </a:solidFill>
              <a:effectLst/>
              <a:uLnTx/>
              <a:uFillTx/>
              <a:latin typeface="+mn-lt"/>
              <a:ea typeface="+mn-ea"/>
              <a:cs typeface="+mn-cs"/>
            </a:rPr>
            <a:t>poveikis</a:t>
          </a:r>
          <a:r>
            <a:rPr kumimoji="0" lang="lt-LT" sz="1400" b="0" i="0" u="none" strike="noStrike" kern="0" cap="none" spc="0" normalizeH="0" baseline="0" noProof="0">
              <a:ln>
                <a:noFill/>
              </a:ln>
              <a:solidFill>
                <a:srgbClr val="F4FAF6">
                  <a:lumMod val="25000"/>
                </a:srgbClr>
              </a:solidFill>
              <a:effectLst/>
              <a:uLnTx/>
              <a:uFillTx/>
              <a:latin typeface="+mn-lt"/>
              <a:ea typeface="+mn-ea"/>
              <a:cs typeface="+mn-cs"/>
            </a:rPr>
            <a:t> aplinkos oro kokybei yra </a:t>
          </a:r>
          <a:r>
            <a:rPr kumimoji="0" lang="lt-LT" sz="1400" b="1" i="0" u="none" strike="noStrike" kern="0" cap="none" spc="0" normalizeH="0" baseline="0" noProof="0">
              <a:ln>
                <a:noFill/>
              </a:ln>
              <a:solidFill>
                <a:srgbClr val="F4FAF6">
                  <a:lumMod val="25000"/>
                </a:srgbClr>
              </a:solidFill>
              <a:effectLst/>
              <a:uLnTx/>
              <a:uFillTx/>
              <a:latin typeface="+mn-lt"/>
              <a:ea typeface="+mn-ea"/>
              <a:cs typeface="+mn-cs"/>
            </a:rPr>
            <a:t>teigiamas. </a:t>
          </a:r>
        </a:p>
        <a:p>
          <a:pPr marL="285750" marR="0" lvl="0" indent="-285750" defTabSz="914400" eaLnBrk="1" fontAlgn="auto" latinLnBrk="0" hangingPunct="1">
            <a:lnSpc>
              <a:spcPct val="150000"/>
            </a:lnSpc>
            <a:spcBef>
              <a:spcPts val="0"/>
            </a:spcBef>
            <a:spcAft>
              <a:spcPts val="0"/>
            </a:spcAft>
            <a:buClrTx/>
            <a:buSzTx/>
            <a:buFont typeface="Courier New" panose="02070309020205020404" pitchFamily="49" charset="0"/>
            <a:buChar char="o"/>
            <a:tabLst/>
            <a:defRPr/>
          </a:pPr>
          <a:r>
            <a:rPr kumimoji="0" lang="en-US" sz="1400" b="1" i="0" u="none" strike="noStrike" kern="0" cap="none" spc="0" normalizeH="0" baseline="0" noProof="0">
              <a:ln>
                <a:noFill/>
              </a:ln>
              <a:solidFill>
                <a:srgbClr val="F4FAF6">
                  <a:lumMod val="25000"/>
                </a:srgbClr>
              </a:solidFill>
              <a:effectLst/>
              <a:uLnTx/>
              <a:uFillTx/>
              <a:latin typeface="+mn-lt"/>
              <a:ea typeface="+mn-ea"/>
              <a:cs typeface="+mn-cs"/>
            </a:rPr>
            <a:t>N</a:t>
          </a:r>
          <a:r>
            <a:rPr kumimoji="0" lang="lt-LT" sz="1400" b="1" i="0" u="none" strike="noStrike" kern="0" cap="none" spc="0" normalizeH="0" baseline="0" noProof="0">
              <a:ln>
                <a:noFill/>
              </a:ln>
              <a:solidFill>
                <a:srgbClr val="F4FAF6">
                  <a:lumMod val="25000"/>
                </a:srgbClr>
              </a:solidFill>
              <a:effectLst/>
              <a:uLnTx/>
              <a:uFillTx/>
              <a:latin typeface="+mn-lt"/>
              <a:ea typeface="+mn-ea"/>
              <a:cs typeface="+mn-cs"/>
            </a:rPr>
            <a:t>eigiama </a:t>
          </a:r>
          <a:r>
            <a:rPr kumimoji="0" lang="lt-LT" sz="1400" b="0" i="0" u="none" strike="noStrike" kern="0" cap="none" spc="0" normalizeH="0" baseline="0" noProof="0">
              <a:ln>
                <a:noFill/>
              </a:ln>
              <a:solidFill>
                <a:srgbClr val="F4FAF6">
                  <a:lumMod val="25000"/>
                </a:srgbClr>
              </a:solidFill>
              <a:effectLst/>
              <a:uLnTx/>
              <a:uFillTx/>
              <a:latin typeface="+mn-lt"/>
              <a:ea typeface="+mn-ea"/>
              <a:cs typeface="+mn-cs"/>
            </a:rPr>
            <a:t>oro teršalo  kiekio </a:t>
          </a:r>
          <a:r>
            <a:rPr kumimoji="0" lang="lt-LT" sz="1400" b="1" i="0" u="none" strike="noStrike" kern="0" cap="none" spc="0" normalizeH="0" baseline="0" noProof="0">
              <a:ln>
                <a:noFill/>
              </a:ln>
              <a:solidFill>
                <a:srgbClr val="F4FAF6">
                  <a:lumMod val="25000"/>
                </a:srgbClr>
              </a:solidFill>
              <a:effectLst/>
              <a:uLnTx/>
              <a:uFillTx/>
              <a:latin typeface="+mn-lt"/>
              <a:ea typeface="+mn-ea"/>
              <a:cs typeface="+mn-cs"/>
            </a:rPr>
            <a:t>pokyčio</a:t>
          </a:r>
          <a:r>
            <a:rPr kumimoji="0" lang="en-US" sz="1400" b="1" i="0" u="none" strike="noStrike" kern="0" cap="none" spc="0" normalizeH="0" baseline="0" noProof="0">
              <a:ln>
                <a:noFill/>
              </a:ln>
              <a:solidFill>
                <a:srgbClr val="F4FAF6">
                  <a:lumMod val="25000"/>
                </a:srgbClr>
              </a:solidFill>
              <a:effectLst/>
              <a:uLnTx/>
              <a:uFillTx/>
              <a:latin typeface="+mn-lt"/>
              <a:ea typeface="+mn-ea"/>
              <a:cs typeface="+mn-cs"/>
            </a:rPr>
            <a:t> </a:t>
          </a:r>
          <a:r>
            <a:rPr kumimoji="0" lang="lt-LT" sz="1400" b="1" i="0" u="none" strike="noStrike" kern="0" cap="none" spc="0" normalizeH="0" baseline="0" noProof="0">
              <a:ln>
                <a:noFill/>
              </a:ln>
              <a:solidFill>
                <a:srgbClr val="F4FAF6">
                  <a:lumMod val="25000"/>
                </a:srgbClr>
              </a:solidFill>
              <a:effectLst/>
              <a:uLnTx/>
              <a:uFillTx/>
              <a:latin typeface="+mn-lt"/>
              <a:ea typeface="+mn-ea"/>
              <a:cs typeface="+mn-cs"/>
            </a:rPr>
            <a:t>reikšmė </a:t>
          </a:r>
          <a:r>
            <a:rPr kumimoji="0" lang="lt-LT" sz="1400" b="0" i="0" u="none" strike="noStrike" kern="0" cap="none" spc="0" normalizeH="0" baseline="0" noProof="0">
              <a:ln>
                <a:noFill/>
              </a:ln>
              <a:solidFill>
                <a:srgbClr val="F4FAF6">
                  <a:lumMod val="25000"/>
                </a:srgbClr>
              </a:solidFill>
              <a:effectLst/>
              <a:uLnTx/>
              <a:uFillTx/>
              <a:latin typeface="+mn-lt"/>
              <a:ea typeface="+mn-ea"/>
              <a:cs typeface="+mn-cs"/>
            </a:rPr>
            <a:t>(&lt; </a:t>
          </a:r>
          <a:r>
            <a:rPr kumimoji="0" lang="en-US" sz="1400" b="0" i="0" u="none" strike="noStrike" kern="0" cap="none" spc="0" normalizeH="0" baseline="0" noProof="0">
              <a:ln>
                <a:noFill/>
              </a:ln>
              <a:solidFill>
                <a:srgbClr val="F4FAF6">
                  <a:lumMod val="25000"/>
                </a:srgbClr>
              </a:solidFill>
              <a:effectLst/>
              <a:uLnTx/>
              <a:uFillTx/>
              <a:latin typeface="+mn-lt"/>
              <a:ea typeface="+mn-ea"/>
              <a:cs typeface="+mn-cs"/>
            </a:rPr>
            <a:t>0 kt</a:t>
          </a:r>
          <a:r>
            <a:rPr kumimoji="0" lang="lt-LT" sz="1400" b="0" i="0" u="none" strike="noStrike" kern="0" cap="none" spc="0" normalizeH="0" baseline="0" noProof="0">
              <a:ln>
                <a:noFill/>
              </a:ln>
              <a:solidFill>
                <a:srgbClr val="F4FAF6">
                  <a:lumMod val="25000"/>
                </a:srgbClr>
              </a:solidFill>
              <a:effectLst/>
              <a:uLnTx/>
              <a:uFillTx/>
              <a:latin typeface="+mn-lt"/>
              <a:ea typeface="+mn-ea"/>
              <a:cs typeface="+mn-cs"/>
            </a:rPr>
            <a:t> </a:t>
          </a:r>
          <a:r>
            <a:rPr kumimoji="0" lang="en-US" sz="1400" b="0" i="0" u="none" strike="noStrike" kern="0" cap="none" spc="0" normalizeH="0" baseline="0" noProof="0">
              <a:ln>
                <a:noFill/>
              </a:ln>
              <a:solidFill>
                <a:srgbClr val="F4FAF6">
                  <a:lumMod val="25000"/>
                </a:srgbClr>
              </a:solidFill>
              <a:effectLst/>
              <a:uLnTx/>
              <a:uFillTx/>
              <a:latin typeface="+mn-lt"/>
              <a:ea typeface="+mn-ea"/>
              <a:cs typeface="+mn-cs"/>
            </a:rPr>
            <a:t>/metus)</a:t>
          </a:r>
          <a:r>
            <a:rPr kumimoji="0" lang="lt-LT" sz="1400" b="0" i="0" u="none" strike="noStrike" kern="0" cap="none" spc="0" normalizeH="0" baseline="0" noProof="0">
              <a:ln>
                <a:noFill/>
              </a:ln>
              <a:solidFill>
                <a:srgbClr val="F4FAF6">
                  <a:lumMod val="25000"/>
                </a:srgbClr>
              </a:solidFill>
              <a:effectLst/>
              <a:uLnTx/>
              <a:uFillTx/>
              <a:latin typeface="+mn-lt"/>
              <a:ea typeface="+mn-ea"/>
              <a:cs typeface="+mn-cs"/>
            </a:rPr>
            <a:t> rodo, kad analizuojama teisėkūros iniciatyva </a:t>
          </a:r>
          <a:r>
            <a:rPr kumimoji="0" lang="lt-LT" sz="1400" b="1" i="0" u="sng" strike="noStrike" kern="0" cap="none" spc="0" normalizeH="0" baseline="0" noProof="0">
              <a:ln>
                <a:noFill/>
              </a:ln>
              <a:solidFill>
                <a:schemeClr val="accent3">
                  <a:lumMod val="25000"/>
                </a:schemeClr>
              </a:solidFill>
              <a:effectLst/>
              <a:uLnTx/>
              <a:uFillTx/>
              <a:latin typeface="+mn-lt"/>
              <a:ea typeface="+mn-ea"/>
              <a:cs typeface="+mn-cs"/>
            </a:rPr>
            <a:t>oro teršalo </a:t>
          </a:r>
          <a:r>
            <a:rPr kumimoji="0" lang="lt-LT" sz="1400" b="1" i="0" u="sng" strike="noStrike" kern="0" cap="none" spc="0" normalizeH="0" baseline="0" noProof="0">
              <a:ln>
                <a:noFill/>
              </a:ln>
              <a:solidFill>
                <a:srgbClr val="F4FAF6">
                  <a:lumMod val="25000"/>
                </a:srgbClr>
              </a:solidFill>
              <a:effectLst/>
              <a:uLnTx/>
              <a:uFillTx/>
              <a:latin typeface="+mn-lt"/>
              <a:ea typeface="+mn-ea"/>
              <a:cs typeface="+mn-cs"/>
            </a:rPr>
            <a:t>kiekį didina </a:t>
          </a:r>
          <a:r>
            <a:rPr kumimoji="0" lang="lt-LT" sz="1400" b="0" i="0" u="none" strike="noStrike" kern="0" cap="none" spc="0" normalizeH="0" baseline="0" noProof="0">
              <a:ln>
                <a:noFill/>
              </a:ln>
              <a:solidFill>
                <a:srgbClr val="F4FAF6">
                  <a:lumMod val="25000"/>
                </a:srgbClr>
              </a:solidFill>
              <a:effectLst/>
              <a:uLnTx/>
              <a:uFillTx/>
              <a:latin typeface="+mn-lt"/>
              <a:ea typeface="+mn-ea"/>
              <a:cs typeface="+mn-cs"/>
            </a:rPr>
            <a:t>( t.y. apskaičiuotas oro teršalo  kiekis susidaręs iš projektinio veiklos rodiklio yra didesnis nei iš bazinio veiklos rodiklio ). Daroma prielaida, kad teisėkūros iniciatyvos </a:t>
          </a:r>
          <a:r>
            <a:rPr kumimoji="0" lang="lt-LT" sz="1400" b="1" i="0" u="none" strike="noStrike" kern="0" cap="none" spc="0" normalizeH="0" baseline="0" noProof="0">
              <a:ln>
                <a:noFill/>
              </a:ln>
              <a:solidFill>
                <a:srgbClr val="F4FAF6">
                  <a:lumMod val="25000"/>
                </a:srgbClr>
              </a:solidFill>
              <a:effectLst/>
              <a:uLnTx/>
              <a:uFillTx/>
              <a:latin typeface="+mn-lt"/>
              <a:ea typeface="+mn-ea"/>
              <a:cs typeface="+mn-cs"/>
            </a:rPr>
            <a:t>poveikis </a:t>
          </a:r>
          <a:r>
            <a:rPr kumimoji="0" lang="lt-LT" sz="1400" b="0" i="0" u="none" strike="noStrike" kern="0" cap="none" spc="0" normalizeH="0" baseline="0" noProof="0">
              <a:ln>
                <a:noFill/>
              </a:ln>
              <a:solidFill>
                <a:srgbClr val="F4FAF6">
                  <a:lumMod val="25000"/>
                </a:srgbClr>
              </a:solidFill>
              <a:effectLst/>
              <a:uLnTx/>
              <a:uFillTx/>
              <a:latin typeface="+mn-lt"/>
              <a:ea typeface="+mn-ea"/>
              <a:cs typeface="+mn-cs"/>
            </a:rPr>
            <a:t>aplinkos oro kokybei yra </a:t>
          </a:r>
          <a:r>
            <a:rPr kumimoji="0" lang="lt-LT" sz="1400" b="1" i="0" u="none" strike="noStrike" kern="0" cap="none" spc="0" normalizeH="0" baseline="0" noProof="0">
              <a:ln>
                <a:noFill/>
              </a:ln>
              <a:solidFill>
                <a:srgbClr val="F4FAF6">
                  <a:lumMod val="25000"/>
                </a:srgbClr>
              </a:solidFill>
              <a:effectLst/>
              <a:uLnTx/>
              <a:uFillTx/>
              <a:latin typeface="+mn-lt"/>
              <a:ea typeface="+mn-ea"/>
              <a:cs typeface="+mn-cs"/>
            </a:rPr>
            <a:t>neigiamas</a:t>
          </a:r>
          <a:r>
            <a:rPr kumimoji="0" lang="lt-LT" sz="1400" b="0" i="0" u="none" strike="noStrike" kern="0" cap="none" spc="0" normalizeH="0" baseline="0" noProof="0">
              <a:ln>
                <a:noFill/>
              </a:ln>
              <a:solidFill>
                <a:srgbClr val="F4FAF6">
                  <a:lumMod val="25000"/>
                </a:srgbClr>
              </a:solidFill>
              <a:effectLst/>
              <a:uLnTx/>
              <a:uFillTx/>
              <a:latin typeface="+mn-lt"/>
              <a:ea typeface="+mn-ea"/>
              <a:cs typeface="+mn-cs"/>
            </a:rPr>
            <a:t>. </a:t>
          </a:r>
        </a:p>
        <a:p>
          <a:pPr marL="285750" marR="0" lvl="0" indent="-285750" defTabSz="914400" eaLnBrk="1" fontAlgn="auto" latinLnBrk="0" hangingPunct="1">
            <a:lnSpc>
              <a:spcPct val="150000"/>
            </a:lnSpc>
            <a:spcBef>
              <a:spcPts val="0"/>
            </a:spcBef>
            <a:spcAft>
              <a:spcPts val="0"/>
            </a:spcAft>
            <a:buClrTx/>
            <a:buSzTx/>
            <a:buFont typeface="Courier New" panose="02070309020205020404" pitchFamily="49" charset="0"/>
            <a:buChar char="o"/>
            <a:tabLst/>
            <a:defRPr/>
          </a:pPr>
          <a:r>
            <a:rPr kumimoji="0" lang="lt-LT" sz="1400" b="0" i="0" u="none" strike="noStrike" kern="0" cap="none" spc="0" normalizeH="0" baseline="0" noProof="0">
              <a:ln>
                <a:noFill/>
              </a:ln>
              <a:solidFill>
                <a:srgbClr val="F4FAF6">
                  <a:lumMod val="25000"/>
                </a:srgbClr>
              </a:solidFill>
              <a:effectLst/>
              <a:uLnTx/>
              <a:uFillTx/>
              <a:latin typeface="+mn-lt"/>
              <a:ea typeface="+mn-ea"/>
              <a:cs typeface="+mn-cs"/>
            </a:rPr>
            <a:t>Jei oro teršalo kiekio pokyčių reikšmės </a:t>
          </a:r>
          <a:r>
            <a:rPr kumimoji="0" lang="lt-LT" sz="1400" b="1" i="0" u="none" strike="noStrike" kern="0" cap="none" spc="0" normalizeH="0" baseline="0" noProof="0">
              <a:ln>
                <a:noFill/>
              </a:ln>
              <a:solidFill>
                <a:srgbClr val="F4FAF6">
                  <a:lumMod val="25000"/>
                </a:srgbClr>
              </a:solidFill>
              <a:effectLst/>
              <a:uLnTx/>
              <a:uFillTx/>
              <a:latin typeface="+mn-lt"/>
              <a:ea typeface="+mn-ea"/>
              <a:cs typeface="+mn-cs"/>
            </a:rPr>
            <a:t>viršija</a:t>
          </a:r>
          <a:r>
            <a:rPr kumimoji="0" lang="lt-LT" sz="1400" b="0" i="0" u="none" strike="noStrike" kern="0" cap="none" spc="0" normalizeH="0" baseline="0" noProof="0">
              <a:ln>
                <a:noFill/>
              </a:ln>
              <a:solidFill>
                <a:srgbClr val="F4FAF6">
                  <a:lumMod val="25000"/>
                </a:srgbClr>
              </a:solidFill>
              <a:effectLst/>
              <a:uLnTx/>
              <a:uFillTx/>
              <a:latin typeface="+mn-lt"/>
              <a:ea typeface="+mn-ea"/>
              <a:cs typeface="+mn-cs"/>
            </a:rPr>
            <a:t> "</a:t>
          </a:r>
          <a:r>
            <a:rPr kumimoji="0" lang="en-US" sz="1400" b="0" i="0" u="none" strike="noStrike" kern="0" cap="none" spc="0" normalizeH="0" baseline="0" noProof="0">
              <a:ln>
                <a:noFill/>
              </a:ln>
              <a:solidFill>
                <a:srgbClr val="F4FAF6">
                  <a:lumMod val="25000"/>
                </a:srgbClr>
              </a:solidFill>
              <a:effectLst/>
              <a:uLnTx/>
              <a:uFillTx/>
              <a:latin typeface="+mn-lt"/>
              <a:ea typeface="+mn-ea"/>
              <a:cs typeface="+mn-cs"/>
            </a:rPr>
            <a:t>Teis</a:t>
          </a:r>
          <a:r>
            <a:rPr kumimoji="0" lang="lt-LT" sz="1400" b="0" i="0" u="none" strike="noStrike" kern="0" cap="none" spc="0" normalizeH="0" baseline="0" noProof="0">
              <a:ln>
                <a:noFill/>
              </a:ln>
              <a:solidFill>
                <a:srgbClr val="F4FAF6">
                  <a:lumMod val="25000"/>
                </a:srgbClr>
              </a:solidFill>
              <a:effectLst/>
              <a:uLnTx/>
              <a:uFillTx/>
              <a:latin typeface="+mn-lt"/>
              <a:ea typeface="+mn-ea"/>
              <a:cs typeface="+mn-cs"/>
            </a:rPr>
            <a:t>ėkūros poveikio aplinkai ir klimato kaitai (ex ante) vertinimo tvarkos aprašo" priede nustatytą </a:t>
          </a:r>
          <a:r>
            <a:rPr kumimoji="0" lang="lt-LT" sz="1400" b="1" i="0" u="none" strike="noStrike" kern="0" cap="none" spc="0" normalizeH="0" baseline="0" noProof="0">
              <a:ln>
                <a:noFill/>
              </a:ln>
              <a:solidFill>
                <a:srgbClr val="F4FAF6">
                  <a:lumMod val="25000"/>
                </a:srgbClr>
              </a:solidFill>
              <a:effectLst/>
              <a:uLnTx/>
              <a:uFillTx/>
              <a:latin typeface="+mn-lt"/>
              <a:ea typeface="+mn-ea"/>
              <a:cs typeface="+mn-cs"/>
            </a:rPr>
            <a:t>ribinę vertę </a:t>
          </a:r>
          <a:r>
            <a:rPr kumimoji="0" lang="en-US" sz="1400" b="0" i="0" u="none" strike="noStrike" kern="0" cap="none" spc="0" normalizeH="0" baseline="0" noProof="0">
              <a:ln>
                <a:noFill/>
              </a:ln>
              <a:solidFill>
                <a:schemeClr val="accent3">
                  <a:lumMod val="25000"/>
                </a:schemeClr>
              </a:solidFill>
              <a:effectLst/>
              <a:uLnTx/>
              <a:uFillTx/>
              <a:latin typeface="+mn-lt"/>
              <a:ea typeface="+mn-ea"/>
              <a:cs typeface="+mn-cs"/>
            </a:rPr>
            <a:t>(</a:t>
          </a:r>
          <a:r>
            <a:rPr lang="lt-LT" sz="1400" b="0">
              <a:solidFill>
                <a:schemeClr val="accent3">
                  <a:lumMod val="25000"/>
                </a:schemeClr>
              </a:solidFill>
              <a:effectLst/>
              <a:latin typeface="+mn-lt"/>
              <a:ea typeface="+mn-ea"/>
              <a:cs typeface="+mn-cs"/>
            </a:rPr>
            <a:t>NO</a:t>
          </a:r>
          <a:r>
            <a:rPr lang="lt-LT" sz="1400" b="0" baseline="-25000">
              <a:solidFill>
                <a:schemeClr val="accent3">
                  <a:lumMod val="25000"/>
                </a:schemeClr>
              </a:solidFill>
              <a:effectLst/>
              <a:latin typeface="+mn-lt"/>
              <a:ea typeface="+mn-ea"/>
              <a:cs typeface="+mn-cs"/>
            </a:rPr>
            <a:t>x </a:t>
          </a:r>
          <a:r>
            <a:rPr lang="lt-LT" sz="1400" b="0" baseline="0">
              <a:solidFill>
                <a:schemeClr val="accent3">
                  <a:lumMod val="25000"/>
                </a:schemeClr>
              </a:solidFill>
              <a:effectLst/>
              <a:latin typeface="+mn-lt"/>
              <a:ea typeface="+mn-ea"/>
              <a:cs typeface="+mn-cs"/>
            </a:rPr>
            <a:t> 0,0</a:t>
          </a:r>
          <a:r>
            <a:rPr lang="en-US" sz="1400" b="0" baseline="0">
              <a:solidFill>
                <a:schemeClr val="accent3">
                  <a:lumMod val="25000"/>
                </a:schemeClr>
              </a:solidFill>
              <a:effectLst/>
              <a:latin typeface="+mn-lt"/>
              <a:ea typeface="+mn-ea"/>
              <a:cs typeface="+mn-cs"/>
            </a:rPr>
            <a:t>1 </a:t>
          </a:r>
          <a:r>
            <a:rPr kumimoji="0" lang="en-US" sz="1400" b="0" i="0" u="none" strike="noStrike" kern="0" cap="none" spc="0" normalizeH="0" baseline="0" noProof="0">
              <a:ln>
                <a:noFill/>
              </a:ln>
              <a:solidFill>
                <a:srgbClr val="F4FAF6">
                  <a:lumMod val="25000"/>
                </a:srgbClr>
              </a:solidFill>
              <a:effectLst/>
              <a:uLnTx/>
              <a:uFillTx/>
              <a:latin typeface="+mn-lt"/>
              <a:ea typeface="+mn-ea"/>
              <a:cs typeface="+mn-cs"/>
            </a:rPr>
            <a:t>kt/metus</a:t>
          </a:r>
          <a:r>
            <a:rPr lang="en-US" sz="1400" b="0" baseline="0">
              <a:solidFill>
                <a:schemeClr val="accent3">
                  <a:lumMod val="25000"/>
                </a:schemeClr>
              </a:solidFill>
              <a:effectLst/>
              <a:latin typeface="+mn-lt"/>
              <a:ea typeface="+mn-ea"/>
              <a:cs typeface="+mn-cs"/>
            </a:rPr>
            <a:t>;</a:t>
          </a:r>
          <a:r>
            <a:rPr lang="lt-LT" sz="1400" b="0">
              <a:solidFill>
                <a:schemeClr val="accent3">
                  <a:lumMod val="25000"/>
                </a:schemeClr>
              </a:solidFill>
              <a:effectLst/>
              <a:latin typeface="+mn-lt"/>
              <a:ea typeface="+mn-ea"/>
              <a:cs typeface="+mn-cs"/>
            </a:rPr>
            <a:t> NMLOJ</a:t>
          </a:r>
          <a:r>
            <a:rPr lang="en-US" sz="1400" b="0">
              <a:solidFill>
                <a:schemeClr val="accent3">
                  <a:lumMod val="25000"/>
                </a:schemeClr>
              </a:solidFill>
              <a:effectLst/>
              <a:latin typeface="+mn-lt"/>
              <a:ea typeface="+mn-ea"/>
              <a:cs typeface="+mn-cs"/>
            </a:rPr>
            <a:t> </a:t>
          </a:r>
          <a:r>
            <a:rPr kumimoji="0" lang="en-US" sz="1400" b="0" i="0" u="none" strike="noStrike" kern="0" cap="none" spc="0" normalizeH="0" baseline="0" noProof="0">
              <a:ln>
                <a:noFill/>
              </a:ln>
              <a:solidFill>
                <a:srgbClr val="F4FAF6">
                  <a:lumMod val="25000"/>
                </a:srgbClr>
              </a:solidFill>
              <a:effectLst/>
              <a:uLnTx/>
              <a:uFillTx/>
              <a:latin typeface="+mn-lt"/>
              <a:ea typeface="+mn-ea"/>
              <a:cs typeface="+mn-cs"/>
            </a:rPr>
            <a:t>0,01 kt/metus</a:t>
          </a:r>
          <a:r>
            <a:rPr kumimoji="0" lang="en-US" sz="1400" b="0" i="0" u="none" strike="noStrike" kern="0" cap="none" spc="0" normalizeH="0" baseline="0" noProof="0">
              <a:ln>
                <a:noFill/>
              </a:ln>
              <a:solidFill>
                <a:schemeClr val="accent3">
                  <a:lumMod val="25000"/>
                </a:schemeClr>
              </a:solidFill>
              <a:effectLst/>
              <a:uLnTx/>
              <a:uFillTx/>
              <a:latin typeface="+mn-lt"/>
              <a:ea typeface="+mn-ea"/>
              <a:cs typeface="+mn-cs"/>
            </a:rPr>
            <a:t>;</a:t>
          </a:r>
          <a:r>
            <a:rPr lang="lt-LT" sz="1400" b="0">
              <a:solidFill>
                <a:schemeClr val="accent3">
                  <a:lumMod val="25000"/>
                </a:schemeClr>
              </a:solidFill>
              <a:effectLst/>
              <a:latin typeface="+mn-lt"/>
              <a:ea typeface="+mn-ea"/>
              <a:cs typeface="+mn-cs"/>
            </a:rPr>
            <a:t> KD</a:t>
          </a:r>
          <a:r>
            <a:rPr lang="en-US" sz="1400" b="0">
              <a:solidFill>
                <a:schemeClr val="accent3">
                  <a:lumMod val="25000"/>
                </a:schemeClr>
              </a:solidFill>
              <a:effectLst/>
              <a:latin typeface="+mn-lt"/>
              <a:ea typeface="+mn-ea"/>
              <a:cs typeface="+mn-cs"/>
            </a:rPr>
            <a:t>2.5 0,1 </a:t>
          </a:r>
          <a:r>
            <a:rPr kumimoji="0" lang="en-US" sz="1400" b="0" i="0" u="none" strike="noStrike" kern="0" cap="none" spc="0" normalizeH="0" baseline="0" noProof="0">
              <a:ln>
                <a:noFill/>
              </a:ln>
              <a:solidFill>
                <a:srgbClr val="F4FAF6">
                  <a:lumMod val="25000"/>
                </a:srgbClr>
              </a:solidFill>
              <a:effectLst/>
              <a:uLnTx/>
              <a:uFillTx/>
              <a:latin typeface="+mn-lt"/>
              <a:ea typeface="+mn-ea"/>
              <a:cs typeface="+mn-cs"/>
            </a:rPr>
            <a:t>kt/metus</a:t>
          </a:r>
          <a:r>
            <a:rPr lang="en-US" sz="1400" b="0">
              <a:solidFill>
                <a:schemeClr val="accent3">
                  <a:lumMod val="25000"/>
                </a:schemeClr>
              </a:solidFill>
              <a:effectLst/>
              <a:latin typeface="+mn-lt"/>
              <a:ea typeface="+mn-ea"/>
              <a:cs typeface="+mn-cs"/>
            </a:rPr>
            <a:t>; NH</a:t>
          </a:r>
          <a:r>
            <a:rPr lang="en-US" sz="1400" b="0" baseline="-25000">
              <a:solidFill>
                <a:schemeClr val="accent3">
                  <a:lumMod val="25000"/>
                </a:schemeClr>
              </a:solidFill>
              <a:effectLst/>
              <a:latin typeface="+mn-lt"/>
              <a:ea typeface="+mn-ea"/>
              <a:cs typeface="+mn-cs"/>
            </a:rPr>
            <a:t>3</a:t>
          </a:r>
          <a:r>
            <a:rPr lang="en-US" sz="1400" b="0">
              <a:solidFill>
                <a:schemeClr val="accent3">
                  <a:lumMod val="25000"/>
                </a:schemeClr>
              </a:solidFill>
              <a:effectLst/>
              <a:latin typeface="+mn-lt"/>
              <a:ea typeface="+mn-ea"/>
              <a:cs typeface="+mn-cs"/>
            </a:rPr>
            <a:t> </a:t>
          </a:r>
          <a:r>
            <a:rPr kumimoji="0" lang="en-US" sz="1400" b="0" i="0" u="none" strike="noStrike" kern="0" cap="none" spc="0" normalizeH="0" baseline="0" noProof="0">
              <a:ln>
                <a:noFill/>
              </a:ln>
              <a:solidFill>
                <a:schemeClr val="accent3">
                  <a:lumMod val="25000"/>
                </a:schemeClr>
              </a:solidFill>
              <a:effectLst/>
              <a:uLnTx/>
              <a:uFillTx/>
              <a:latin typeface="+mn-lt"/>
              <a:ea typeface="+mn-ea"/>
              <a:cs typeface="+mn-cs"/>
            </a:rPr>
            <a:t>0,01 kt/metus)</a:t>
          </a:r>
          <a:r>
            <a:rPr kumimoji="0" lang="lt-LT" sz="1400" b="1" i="0" u="none" strike="noStrike" kern="0" cap="none" spc="0" normalizeH="0" baseline="0" noProof="0">
              <a:ln>
                <a:noFill/>
              </a:ln>
              <a:solidFill>
                <a:schemeClr val="accent3">
                  <a:lumMod val="25000"/>
                </a:schemeClr>
              </a:solidFill>
              <a:effectLst/>
              <a:uLnTx/>
              <a:uFillTx/>
              <a:latin typeface="+mn-lt"/>
              <a:ea typeface="+mn-ea"/>
              <a:cs typeface="+mn-cs"/>
            </a:rPr>
            <a:t>,</a:t>
          </a:r>
          <a:r>
            <a:rPr kumimoji="0" lang="lt-LT" sz="1400" b="0" i="0" u="none" strike="noStrike" kern="0" cap="none" spc="0" normalizeH="0" baseline="0" noProof="0">
              <a:ln>
                <a:noFill/>
              </a:ln>
              <a:solidFill>
                <a:srgbClr val="F4FAF6">
                  <a:lumMod val="25000"/>
                </a:srgbClr>
              </a:solidFill>
              <a:effectLst/>
              <a:uLnTx/>
              <a:uFillTx/>
              <a:latin typeface="+mn-lt"/>
              <a:ea typeface="+mn-ea"/>
              <a:cs typeface="+mn-cs"/>
            </a:rPr>
            <a:t> laikoma, kad teisėkūros iniciatyvos poveikis aplinkos oro kokybei yra </a:t>
          </a:r>
          <a:r>
            <a:rPr kumimoji="0" lang="lt-LT" sz="1400" b="1" i="0" u="sng" strike="noStrike" kern="0" cap="none" spc="0" normalizeH="0" baseline="0" noProof="0">
              <a:ln>
                <a:noFill/>
              </a:ln>
              <a:solidFill>
                <a:srgbClr val="F4FAF6">
                  <a:lumMod val="25000"/>
                </a:srgbClr>
              </a:solidFill>
              <a:effectLst/>
              <a:uLnTx/>
              <a:uFillTx/>
              <a:latin typeface="+mn-lt"/>
              <a:ea typeface="+mn-ea"/>
              <a:cs typeface="+mn-cs"/>
            </a:rPr>
            <a:t>reikšmingai neigiamas</a:t>
          </a:r>
          <a:r>
            <a:rPr kumimoji="0" lang="lt-LT" sz="1400" b="0" i="0" u="none" strike="noStrike" kern="0" cap="none" spc="0" normalizeH="0" baseline="0" noProof="0">
              <a:ln>
                <a:noFill/>
              </a:ln>
              <a:solidFill>
                <a:srgbClr val="F4FAF6">
                  <a:lumMod val="25000"/>
                </a:srgbClr>
              </a:solidFill>
              <a:effectLst/>
              <a:uLnTx/>
              <a:uFillTx/>
              <a:latin typeface="+mn-lt"/>
              <a:ea typeface="+mn-ea"/>
              <a:cs typeface="+mn-cs"/>
            </a:rPr>
            <a:t>. </a:t>
          </a:r>
        </a:p>
        <a:p>
          <a:pPr marL="285750" indent="-285750" eaLnBrk="1" fontAlgn="auto" latinLnBrk="0" hangingPunct="1">
            <a:lnSpc>
              <a:spcPct val="150000"/>
            </a:lnSpc>
            <a:buFont typeface="Courier New" panose="02070309020205020404" pitchFamily="49" charset="0"/>
            <a:buChar char="o"/>
          </a:pPr>
          <a:r>
            <a:rPr lang="lt-LT" sz="1400" b="0" i="0" baseline="0">
              <a:solidFill>
                <a:schemeClr val="accent3">
                  <a:lumMod val="25000"/>
                </a:schemeClr>
              </a:solidFill>
              <a:effectLst/>
              <a:latin typeface="+mn-lt"/>
              <a:ea typeface="+mn-ea"/>
              <a:cs typeface="+mn-cs"/>
            </a:rPr>
            <a:t>Reikšmingai neigiamam teisėkūros iniciatyvos poveikio identifikavimui, </a:t>
          </a:r>
          <a:r>
            <a:rPr lang="en-US" sz="1400" b="0" i="0" baseline="0">
              <a:solidFill>
                <a:schemeClr val="accent3">
                  <a:lumMod val="25000"/>
                </a:schemeClr>
              </a:solidFill>
              <a:effectLst/>
              <a:latin typeface="+mn-lt"/>
              <a:ea typeface="+mn-ea"/>
              <a:cs typeface="+mn-cs"/>
            </a:rPr>
            <a:t>atitinkami </a:t>
          </a:r>
          <a:r>
            <a:rPr lang="lt-LT" sz="1400" b="0" i="0" baseline="0">
              <a:solidFill>
                <a:schemeClr val="accent3">
                  <a:lumMod val="25000"/>
                </a:schemeClr>
              </a:solidFill>
              <a:effectLst/>
              <a:latin typeface="+mn-lt"/>
              <a:ea typeface="+mn-ea"/>
              <a:cs typeface="+mn-cs"/>
            </a:rPr>
            <a:t>skaičiuoklė</a:t>
          </a:r>
          <a:r>
            <a:rPr lang="en-US" sz="1400" b="0" i="0" baseline="0">
              <a:solidFill>
                <a:schemeClr val="accent3">
                  <a:lumMod val="25000"/>
                </a:schemeClr>
              </a:solidFill>
              <a:effectLst/>
              <a:latin typeface="+mn-lt"/>
              <a:ea typeface="+mn-ea"/>
              <a:cs typeface="+mn-cs"/>
            </a:rPr>
            <a:t>s laukeliai</a:t>
          </a:r>
          <a:r>
            <a:rPr lang="lt-LT" sz="1400" b="0" i="0" baseline="0">
              <a:solidFill>
                <a:schemeClr val="accent3">
                  <a:lumMod val="25000"/>
                </a:schemeClr>
              </a:solidFill>
              <a:effectLst/>
              <a:latin typeface="+mn-lt"/>
              <a:ea typeface="+mn-ea"/>
              <a:cs typeface="+mn-cs"/>
            </a:rPr>
            <a:t> automatiškai nuspalvinami tamsiai žalia spalva.</a:t>
          </a:r>
        </a:p>
      </xdr:txBody>
    </xdr:sp>
    <xdr:clientData/>
  </xdr:twoCellAnchor>
  <xdr:twoCellAnchor>
    <xdr:from>
      <xdr:col>0</xdr:col>
      <xdr:colOff>353785</xdr:colOff>
      <xdr:row>42</xdr:row>
      <xdr:rowOff>163285</xdr:rowOff>
    </xdr:from>
    <xdr:to>
      <xdr:col>3</xdr:col>
      <xdr:colOff>146448</xdr:colOff>
      <xdr:row>51</xdr:row>
      <xdr:rowOff>178951</xdr:rowOff>
    </xdr:to>
    <xdr:grpSp>
      <xdr:nvGrpSpPr>
        <xdr:cNvPr id="17" name="Grupė 16">
          <a:extLst>
            <a:ext uri="{FF2B5EF4-FFF2-40B4-BE49-F238E27FC236}">
              <a16:creationId xmlns:a16="http://schemas.microsoft.com/office/drawing/2014/main" id="{B9B80CCA-C390-4579-AC06-5304553CAE87}"/>
            </a:ext>
          </a:extLst>
        </xdr:cNvPr>
        <xdr:cNvGrpSpPr/>
      </xdr:nvGrpSpPr>
      <xdr:grpSpPr>
        <a:xfrm>
          <a:off x="353785" y="8164285"/>
          <a:ext cx="1629627" cy="1730166"/>
          <a:chOff x="396875" y="8016875"/>
          <a:chExt cx="1717455" cy="1622134"/>
        </a:xfrm>
      </xdr:grpSpPr>
      <xdr:sp macro="" textlink="">
        <xdr:nvSpPr>
          <xdr:cNvPr id="19" name="TextBox 18">
            <a:hlinkClick xmlns:r="http://schemas.openxmlformats.org/officeDocument/2006/relationships" r:id="rId14"/>
            <a:extLst>
              <a:ext uri="{FF2B5EF4-FFF2-40B4-BE49-F238E27FC236}">
                <a16:creationId xmlns:a16="http://schemas.microsoft.com/office/drawing/2014/main" id="{B8B0FAAA-2836-DB1F-FDCD-43C80BF76815}"/>
              </a:ext>
            </a:extLst>
          </xdr:cNvPr>
          <xdr:cNvSpPr txBox="1"/>
        </xdr:nvSpPr>
        <xdr:spPr>
          <a:xfrm>
            <a:off x="396875" y="8966826"/>
            <a:ext cx="1717455" cy="67218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lt-LT" sz="1100">
                <a:solidFill>
                  <a:srgbClr val="808080"/>
                </a:solidFill>
              </a:rPr>
              <a:t>https://aaa.lrv.lt/lt/veiklos-sritys/teisekuros-poveikio-vertinimas/</a:t>
            </a:r>
          </a:p>
        </xdr:txBody>
      </xdr:sp>
      <xdr:pic>
        <xdr:nvPicPr>
          <xdr:cNvPr id="20" name="Paveikslėlis 19">
            <a:extLst>
              <a:ext uri="{FF2B5EF4-FFF2-40B4-BE49-F238E27FC236}">
                <a16:creationId xmlns:a16="http://schemas.microsoft.com/office/drawing/2014/main" id="{CE74CF15-C43F-64F6-DC00-5123DE91F6D3}"/>
              </a:ext>
            </a:extLst>
          </xdr:cNvPr>
          <xdr:cNvPicPr>
            <a:picLocks noChangeAspect="1"/>
          </xdr:cNvPicPr>
        </xdr:nvPicPr>
        <xdr:blipFill rotWithShape="1">
          <a:blip xmlns:r="http://schemas.openxmlformats.org/officeDocument/2006/relationships" r:embed="rId15" cstate="print">
            <a:extLst>
              <a:ext uri="{28A0092B-C50C-407E-A947-70E740481C1C}">
                <a14:useLocalDpi xmlns:a14="http://schemas.microsoft.com/office/drawing/2010/main" val="0"/>
              </a:ext>
            </a:extLst>
          </a:blip>
          <a:srcRect r="16071" b="683"/>
          <a:stretch/>
        </xdr:blipFill>
        <xdr:spPr>
          <a:xfrm>
            <a:off x="718995" y="8016875"/>
            <a:ext cx="809624" cy="843080"/>
          </a:xfrm>
          <a:prstGeom prst="rect">
            <a:avLst/>
          </a:prstGeom>
        </xdr:spPr>
      </xdr:pic>
    </xdr:grpSp>
    <xdr:clientData/>
  </xdr:twoCellAnchor>
</xdr:wsDr>
</file>

<file path=xl/drawings/drawing4.xml><?xml version="1.0" encoding="utf-8"?>
<xdr:wsDr xmlns:xdr="http://schemas.openxmlformats.org/drawingml/2006/spreadsheetDrawing" xmlns:a="http://schemas.openxmlformats.org/drawingml/2006/main">
  <xdr:oneCellAnchor>
    <xdr:from>
      <xdr:col>0</xdr:col>
      <xdr:colOff>89065</xdr:colOff>
      <xdr:row>0</xdr:row>
      <xdr:rowOff>54428</xdr:rowOff>
    </xdr:from>
    <xdr:ext cx="2436090" cy="11118273"/>
    <xdr:pic>
      <xdr:nvPicPr>
        <xdr:cNvPr id="2" name="Picture 1" descr="Paveikslėlis, kuriame yra ekrano kopija, Stačiakampis, kvadrato formos, nuotraukos rėmelis&#10;&#10;Automatiškai sugeneruotas aprašymas">
          <a:extLst>
            <a:ext uri="{FF2B5EF4-FFF2-40B4-BE49-F238E27FC236}">
              <a16:creationId xmlns:a16="http://schemas.microsoft.com/office/drawing/2014/main" id="{66C29568-A9F4-4C5B-A90B-48304717091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065" y="54428"/>
          <a:ext cx="2436090" cy="11118273"/>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twoCellAnchor>
    <xdr:from>
      <xdr:col>0</xdr:col>
      <xdr:colOff>299461</xdr:colOff>
      <xdr:row>0</xdr:row>
      <xdr:rowOff>157612</xdr:rowOff>
    </xdr:from>
    <xdr:to>
      <xdr:col>3</xdr:col>
      <xdr:colOff>184728</xdr:colOff>
      <xdr:row>4</xdr:row>
      <xdr:rowOff>31750</xdr:rowOff>
    </xdr:to>
    <xdr:pic>
      <xdr:nvPicPr>
        <xdr:cNvPr id="3" name="Paveikslėlis 2" descr="Paveikslėlis, kuriame yra animacija, menas, Grafika, iliustracija&#10;&#10;Automatiškai sugeneruotas aprašymas">
          <a:extLst>
            <a:ext uri="{FF2B5EF4-FFF2-40B4-BE49-F238E27FC236}">
              <a16:creationId xmlns:a16="http://schemas.microsoft.com/office/drawing/2014/main" id="{01EAB984-2852-4B10-96DE-C84ED8DCF0C7}"/>
            </a:ext>
            <a:ext uri="{147F2762-F138-4A5C-976F-8EAC2B608ADB}">
              <a16:predDERef xmlns:a16="http://schemas.microsoft.com/office/drawing/2014/main" pred="{46023FA3-9223-450D-88ED-40320E00CA58}"/>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299461" y="157612"/>
          <a:ext cx="1822017" cy="763138"/>
        </a:xfrm>
        <a:prstGeom prst="rect">
          <a:avLst/>
        </a:prstGeom>
      </xdr:spPr>
    </xdr:pic>
    <xdr:clientData/>
  </xdr:twoCellAnchor>
  <xdr:twoCellAnchor>
    <xdr:from>
      <xdr:col>0</xdr:col>
      <xdr:colOff>259483</xdr:colOff>
      <xdr:row>406</xdr:row>
      <xdr:rowOff>122019</xdr:rowOff>
    </xdr:from>
    <xdr:to>
      <xdr:col>2</xdr:col>
      <xdr:colOff>406849</xdr:colOff>
      <xdr:row>409</xdr:row>
      <xdr:rowOff>89536</xdr:rowOff>
    </xdr:to>
    <xdr:sp macro="" textlink="">
      <xdr:nvSpPr>
        <xdr:cNvPr id="5" name="TextBox 4">
          <a:extLst>
            <a:ext uri="{FF2B5EF4-FFF2-40B4-BE49-F238E27FC236}">
              <a16:creationId xmlns:a16="http://schemas.microsoft.com/office/drawing/2014/main" id="{F33C32D4-6552-40DA-88F4-47D4214CF388}"/>
            </a:ext>
          </a:extLst>
        </xdr:cNvPr>
        <xdr:cNvSpPr txBox="1"/>
      </xdr:nvSpPr>
      <xdr:spPr>
        <a:xfrm>
          <a:off x="259483" y="8377019"/>
          <a:ext cx="1440457" cy="52169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endParaRPr lang="lt-LT" sz="1100">
            <a:solidFill>
              <a:srgbClr val="808080"/>
            </a:solidFill>
          </a:endParaRPr>
        </a:p>
      </xdr:txBody>
    </xdr:sp>
    <xdr:clientData/>
  </xdr:twoCellAnchor>
  <xdr:twoCellAnchor>
    <xdr:from>
      <xdr:col>0</xdr:col>
      <xdr:colOff>356705</xdr:colOff>
      <xdr:row>436</xdr:row>
      <xdr:rowOff>48585</xdr:rowOff>
    </xdr:from>
    <xdr:to>
      <xdr:col>3</xdr:col>
      <xdr:colOff>105295</xdr:colOff>
      <xdr:row>438</xdr:row>
      <xdr:rowOff>19464</xdr:rowOff>
    </xdr:to>
    <xdr:sp macro="" textlink="">
      <xdr:nvSpPr>
        <xdr:cNvPr id="6" name="TextBox 5">
          <a:hlinkClick xmlns:r="http://schemas.openxmlformats.org/officeDocument/2006/relationships" r:id="rId3"/>
          <a:extLst>
            <a:ext uri="{FF2B5EF4-FFF2-40B4-BE49-F238E27FC236}">
              <a16:creationId xmlns:a16="http://schemas.microsoft.com/office/drawing/2014/main" id="{504D7A33-1C33-4862-8C2F-6CD43709BFE2}"/>
            </a:ext>
          </a:extLst>
        </xdr:cNvPr>
        <xdr:cNvSpPr txBox="1"/>
      </xdr:nvSpPr>
      <xdr:spPr>
        <a:xfrm>
          <a:off x="353530" y="42488810"/>
          <a:ext cx="1663115" cy="33600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endParaRPr lang="lt-LT" sz="1100">
            <a:solidFill>
              <a:srgbClr val="808080"/>
            </a:solidFill>
          </a:endParaRPr>
        </a:p>
      </xdr:txBody>
    </xdr:sp>
    <xdr:clientData/>
  </xdr:twoCellAnchor>
  <xdr:oneCellAnchor>
    <xdr:from>
      <xdr:col>1</xdr:col>
      <xdr:colOff>305954</xdr:colOff>
      <xdr:row>30</xdr:row>
      <xdr:rowOff>79939</xdr:rowOff>
    </xdr:from>
    <xdr:ext cx="675411" cy="668619"/>
    <xdr:pic>
      <xdr:nvPicPr>
        <xdr:cNvPr id="8" name="Grafinis elementas 16" descr="Envelope outline">
          <a:extLst>
            <a:ext uri="{FF2B5EF4-FFF2-40B4-BE49-F238E27FC236}">
              <a16:creationId xmlns:a16="http://schemas.microsoft.com/office/drawing/2014/main" id="{0F040E60-0EC8-464A-B49D-2679D407A30A}"/>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 uri="{96DAC541-7B7A-43D3-8B79-37D633B846F1}">
              <asvg:svgBlip xmlns:asvg="http://schemas.microsoft.com/office/drawing/2016/SVG/main" r:embed="rId5"/>
            </a:ext>
          </a:extLst>
        </a:blip>
        <a:stretch>
          <a:fillRect/>
        </a:stretch>
      </xdr:blipFill>
      <xdr:spPr>
        <a:xfrm>
          <a:off x="952499" y="6441484"/>
          <a:ext cx="675411" cy="668619"/>
        </a:xfrm>
        <a:prstGeom prst="rect">
          <a:avLst/>
        </a:prstGeom>
      </xdr:spPr>
    </xdr:pic>
    <xdr:clientData/>
  </xdr:oneCellAnchor>
  <xdr:twoCellAnchor>
    <xdr:from>
      <xdr:col>0</xdr:col>
      <xdr:colOff>405381</xdr:colOff>
      <xdr:row>6</xdr:row>
      <xdr:rowOff>5600</xdr:rowOff>
    </xdr:from>
    <xdr:to>
      <xdr:col>3</xdr:col>
      <xdr:colOff>167381</xdr:colOff>
      <xdr:row>7</xdr:row>
      <xdr:rowOff>517071</xdr:rowOff>
    </xdr:to>
    <xdr:pic>
      <xdr:nvPicPr>
        <xdr:cNvPr id="9" name="Picture 69" descr="Paveikslėlis, kuriame yra tekstas, Šriftas, ekrano kopija, Stačiakampis&#10;&#10;Automatiškai sugeneruotas aprašymas">
          <a:hlinkClick xmlns:r="http://schemas.openxmlformats.org/officeDocument/2006/relationships" r:id="rId6"/>
          <a:extLst>
            <a:ext uri="{FF2B5EF4-FFF2-40B4-BE49-F238E27FC236}">
              <a16:creationId xmlns:a16="http://schemas.microsoft.com/office/drawing/2014/main" id="{DC1E3FC4-7633-4CD3-B1C2-09B327DCBA7F}"/>
            </a:ext>
          </a:extLst>
        </xdr:cNvPr>
        <xdr:cNvPicPr>
          <a:picLocks noChangeAspect="1"/>
        </xdr:cNvPicPr>
      </xdr:nvPicPr>
      <xdr:blipFill>
        <a:blip xmlns:r="http://schemas.openxmlformats.org/officeDocument/2006/relationships" r:embed="rId7">
          <a:duotone>
            <a:schemeClr val="accent4">
              <a:shade val="45000"/>
              <a:satMod val="135000"/>
            </a:schemeClr>
            <a:prstClr val="white"/>
          </a:duotone>
        </a:blip>
        <a:stretch>
          <a:fillRect/>
        </a:stretch>
      </xdr:blipFill>
      <xdr:spPr>
        <a:xfrm>
          <a:off x="405381" y="1284671"/>
          <a:ext cx="1694214" cy="792686"/>
        </a:xfrm>
        <a:prstGeom prst="rect">
          <a:avLst/>
        </a:prstGeom>
      </xdr:spPr>
    </xdr:pic>
    <xdr:clientData/>
  </xdr:twoCellAnchor>
  <xdr:twoCellAnchor>
    <xdr:from>
      <xdr:col>0</xdr:col>
      <xdr:colOff>388062</xdr:colOff>
      <xdr:row>16</xdr:row>
      <xdr:rowOff>174625</xdr:rowOff>
    </xdr:from>
    <xdr:to>
      <xdr:col>3</xdr:col>
      <xdr:colOff>125884</xdr:colOff>
      <xdr:row>25</xdr:row>
      <xdr:rowOff>217715</xdr:rowOff>
    </xdr:to>
    <xdr:pic>
      <xdr:nvPicPr>
        <xdr:cNvPr id="10" name="Picture 72" descr="Paveikslėlis, kuriame yra tekstas, Šriftas, ekrano kopija, Stačiakampis&#10;&#10;Automatiškai sugeneruotas aprašymas">
          <a:hlinkClick xmlns:r="http://schemas.openxmlformats.org/officeDocument/2006/relationships" r:id="rId8"/>
          <a:extLst>
            <a:ext uri="{FF2B5EF4-FFF2-40B4-BE49-F238E27FC236}">
              <a16:creationId xmlns:a16="http://schemas.microsoft.com/office/drawing/2014/main" id="{12092228-445A-44E0-B1C3-391D62269216}"/>
            </a:ext>
          </a:extLst>
        </xdr:cNvPr>
        <xdr:cNvPicPr>
          <a:picLocks noChangeAspect="1"/>
        </xdr:cNvPicPr>
      </xdr:nvPicPr>
      <xdr:blipFill>
        <a:blip xmlns:r="http://schemas.openxmlformats.org/officeDocument/2006/relationships" r:embed="rId9">
          <a:duotone>
            <a:schemeClr val="accent4">
              <a:shade val="45000"/>
              <a:satMod val="135000"/>
            </a:schemeClr>
            <a:prstClr val="white"/>
          </a:duotone>
        </a:blip>
        <a:stretch>
          <a:fillRect/>
        </a:stretch>
      </xdr:blipFill>
      <xdr:spPr>
        <a:xfrm>
          <a:off x="388062" y="4356554"/>
          <a:ext cx="1670036" cy="805090"/>
        </a:xfrm>
        <a:prstGeom prst="rect">
          <a:avLst/>
        </a:prstGeom>
      </xdr:spPr>
    </xdr:pic>
    <xdr:clientData/>
  </xdr:twoCellAnchor>
  <xdr:twoCellAnchor>
    <xdr:from>
      <xdr:col>0</xdr:col>
      <xdr:colOff>467592</xdr:colOff>
      <xdr:row>400</xdr:row>
      <xdr:rowOff>137967</xdr:rowOff>
    </xdr:from>
    <xdr:to>
      <xdr:col>2</xdr:col>
      <xdr:colOff>609854</xdr:colOff>
      <xdr:row>402</xdr:row>
      <xdr:rowOff>40705</xdr:rowOff>
    </xdr:to>
    <xdr:sp macro="" textlink="">
      <xdr:nvSpPr>
        <xdr:cNvPr id="11" name="TextBox 10">
          <a:extLst>
            <a:ext uri="{FF2B5EF4-FFF2-40B4-BE49-F238E27FC236}">
              <a16:creationId xmlns:a16="http://schemas.microsoft.com/office/drawing/2014/main" id="{93C98117-EC30-4D92-887F-B3A971C536C2}"/>
            </a:ext>
          </a:extLst>
        </xdr:cNvPr>
        <xdr:cNvSpPr txBox="1"/>
      </xdr:nvSpPr>
      <xdr:spPr>
        <a:xfrm>
          <a:off x="467592" y="7284603"/>
          <a:ext cx="1435353" cy="27219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endParaRPr lang="lt-LT" sz="1100">
            <a:solidFill>
              <a:srgbClr val="808080"/>
            </a:solidFill>
          </a:endParaRPr>
        </a:p>
      </xdr:txBody>
    </xdr:sp>
    <xdr:clientData/>
  </xdr:twoCellAnchor>
  <xdr:twoCellAnchor>
    <xdr:from>
      <xdr:col>18</xdr:col>
      <xdr:colOff>263071</xdr:colOff>
      <xdr:row>1</xdr:row>
      <xdr:rowOff>294820</xdr:rowOff>
    </xdr:from>
    <xdr:to>
      <xdr:col>28</xdr:col>
      <xdr:colOff>773546</xdr:colOff>
      <xdr:row>4</xdr:row>
      <xdr:rowOff>95250</xdr:rowOff>
    </xdr:to>
    <xdr:sp macro="" textlink="">
      <xdr:nvSpPr>
        <xdr:cNvPr id="13" name="Rectangle 14">
          <a:extLst>
            <a:ext uri="{FF2B5EF4-FFF2-40B4-BE49-F238E27FC236}">
              <a16:creationId xmlns:a16="http://schemas.microsoft.com/office/drawing/2014/main" id="{983838DA-F6E2-48E9-AB84-D605B2188A91}"/>
            </a:ext>
          </a:extLst>
        </xdr:cNvPr>
        <xdr:cNvSpPr/>
      </xdr:nvSpPr>
      <xdr:spPr>
        <a:xfrm>
          <a:off x="14116654" y="474737"/>
          <a:ext cx="7146225" cy="509513"/>
        </a:xfrm>
        <a:prstGeom prst="rect">
          <a:avLst/>
        </a:prstGeom>
        <a:solidFill>
          <a:schemeClr val="accent5">
            <a:lumMod val="40000"/>
            <a:lumOff val="60000"/>
          </a:schemeClr>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ctr"/>
          <a:r>
            <a:rPr lang="lt-LT" sz="1100" b="1" baseline="0">
              <a:solidFill>
                <a:schemeClr val="accent3">
                  <a:lumMod val="25000"/>
                </a:schemeClr>
              </a:solidFill>
            </a:rPr>
            <a:t>ORO TERŠALŲ KIEKIŲ POKYČIŲ PASISKIRSTYMAS</a:t>
          </a:r>
          <a:endParaRPr lang="lt-LT" sz="1100" b="1">
            <a:solidFill>
              <a:schemeClr val="accent3">
                <a:lumMod val="25000"/>
              </a:schemeClr>
            </a:solidFill>
          </a:endParaRPr>
        </a:p>
      </xdr:txBody>
    </xdr:sp>
    <xdr:clientData/>
  </xdr:twoCellAnchor>
  <xdr:oneCellAnchor>
    <xdr:from>
      <xdr:col>6</xdr:col>
      <xdr:colOff>108857</xdr:colOff>
      <xdr:row>411</xdr:row>
      <xdr:rowOff>149680</xdr:rowOff>
    </xdr:from>
    <xdr:ext cx="2027464" cy="264560"/>
    <xdr:sp macro="" textlink="">
      <xdr:nvSpPr>
        <xdr:cNvPr id="17" name="TextBox 16">
          <a:extLst>
            <a:ext uri="{FF2B5EF4-FFF2-40B4-BE49-F238E27FC236}">
              <a16:creationId xmlns:a16="http://schemas.microsoft.com/office/drawing/2014/main" id="{D0768729-0347-4A24-927B-F3E8D7FE8D62}"/>
            </a:ext>
          </a:extLst>
        </xdr:cNvPr>
        <xdr:cNvSpPr txBox="1"/>
      </xdr:nvSpPr>
      <xdr:spPr>
        <a:xfrm>
          <a:off x="3477532" y="38068705"/>
          <a:ext cx="2027464"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endParaRPr lang="lt-LT" sz="1100">
            <a:solidFill>
              <a:schemeClr val="bg2">
                <a:lumMod val="50000"/>
              </a:schemeClr>
            </a:solidFill>
          </a:endParaRPr>
        </a:p>
      </xdr:txBody>
    </xdr:sp>
    <xdr:clientData/>
  </xdr:oneCellAnchor>
  <xdr:oneCellAnchor>
    <xdr:from>
      <xdr:col>6</xdr:col>
      <xdr:colOff>84365</xdr:colOff>
      <xdr:row>413</xdr:row>
      <xdr:rowOff>122465</xdr:rowOff>
    </xdr:from>
    <xdr:ext cx="2027464" cy="264560"/>
    <xdr:sp macro="" textlink="">
      <xdr:nvSpPr>
        <xdr:cNvPr id="18" name="TextBox 17">
          <a:extLst>
            <a:ext uri="{FF2B5EF4-FFF2-40B4-BE49-F238E27FC236}">
              <a16:creationId xmlns:a16="http://schemas.microsoft.com/office/drawing/2014/main" id="{0DF1CA75-D7D5-4474-9799-BE75E62D998A}"/>
            </a:ext>
          </a:extLst>
        </xdr:cNvPr>
        <xdr:cNvSpPr txBox="1"/>
      </xdr:nvSpPr>
      <xdr:spPr>
        <a:xfrm>
          <a:off x="3459390" y="38406615"/>
          <a:ext cx="2027464"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endParaRPr lang="lt-LT" sz="1100">
            <a:solidFill>
              <a:schemeClr val="bg2">
                <a:lumMod val="50000"/>
              </a:schemeClr>
            </a:solidFill>
          </a:endParaRPr>
        </a:p>
      </xdr:txBody>
    </xdr:sp>
    <xdr:clientData/>
  </xdr:oneCellAnchor>
  <xdr:oneCellAnchor>
    <xdr:from>
      <xdr:col>4</xdr:col>
      <xdr:colOff>95250</xdr:colOff>
      <xdr:row>415</xdr:row>
      <xdr:rowOff>68036</xdr:rowOff>
    </xdr:from>
    <xdr:ext cx="9620250" cy="264560"/>
    <xdr:sp macro="" textlink="">
      <xdr:nvSpPr>
        <xdr:cNvPr id="19" name="TextBox 18">
          <a:extLst>
            <a:ext uri="{FF2B5EF4-FFF2-40B4-BE49-F238E27FC236}">
              <a16:creationId xmlns:a16="http://schemas.microsoft.com/office/drawing/2014/main" id="{12388835-DD02-4A99-A61C-3DD9C93E88A2}"/>
            </a:ext>
          </a:extLst>
        </xdr:cNvPr>
        <xdr:cNvSpPr txBox="1"/>
      </xdr:nvSpPr>
      <xdr:spPr>
        <a:xfrm>
          <a:off x="2647950" y="38707786"/>
          <a:ext cx="9620250"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endParaRPr lang="lt-LT" sz="1100">
            <a:solidFill>
              <a:schemeClr val="bg2">
                <a:lumMod val="50000"/>
              </a:schemeClr>
            </a:solidFill>
          </a:endParaRPr>
        </a:p>
      </xdr:txBody>
    </xdr:sp>
    <xdr:clientData/>
  </xdr:oneCellAnchor>
  <xdr:oneCellAnchor>
    <xdr:from>
      <xdr:col>4</xdr:col>
      <xdr:colOff>122464</xdr:colOff>
      <xdr:row>27</xdr:row>
      <xdr:rowOff>149678</xdr:rowOff>
    </xdr:from>
    <xdr:ext cx="9593035" cy="264560"/>
    <xdr:sp macro="" textlink="">
      <xdr:nvSpPr>
        <xdr:cNvPr id="20" name="TextBox 19">
          <a:extLst>
            <a:ext uri="{FF2B5EF4-FFF2-40B4-BE49-F238E27FC236}">
              <a16:creationId xmlns:a16="http://schemas.microsoft.com/office/drawing/2014/main" id="{CCF8D908-3013-46A5-A69E-4B7533D44281}"/>
            </a:ext>
          </a:extLst>
        </xdr:cNvPr>
        <xdr:cNvSpPr txBox="1"/>
      </xdr:nvSpPr>
      <xdr:spPr>
        <a:xfrm>
          <a:off x="2678339" y="4588328"/>
          <a:ext cx="9593035"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endParaRPr lang="lt-LT" sz="1100" b="1">
            <a:solidFill>
              <a:schemeClr val="bg2">
                <a:lumMod val="50000"/>
              </a:schemeClr>
            </a:solidFill>
          </a:endParaRPr>
        </a:p>
      </xdr:txBody>
    </xdr:sp>
    <xdr:clientData/>
  </xdr:oneCellAnchor>
  <xdr:twoCellAnchor editAs="oneCell">
    <xdr:from>
      <xdr:col>0</xdr:col>
      <xdr:colOff>428831</xdr:colOff>
      <xdr:row>8</xdr:row>
      <xdr:rowOff>11546</xdr:rowOff>
    </xdr:from>
    <xdr:to>
      <xdr:col>3</xdr:col>
      <xdr:colOff>136072</xdr:colOff>
      <xdr:row>9</xdr:row>
      <xdr:rowOff>286515</xdr:rowOff>
    </xdr:to>
    <xdr:pic>
      <xdr:nvPicPr>
        <xdr:cNvPr id="21" name="Picture 9" descr="Paveikslėlis, kuriame yra tekstas, Šriftas, baltas, dizainas&#10;&#10;Automatiškai sugeneruotas aprašymas">
          <a:hlinkClick xmlns:r="http://schemas.openxmlformats.org/officeDocument/2006/relationships" r:id="rId10"/>
          <a:extLst>
            <a:ext uri="{FF2B5EF4-FFF2-40B4-BE49-F238E27FC236}">
              <a16:creationId xmlns:a16="http://schemas.microsoft.com/office/drawing/2014/main" id="{56168F22-973A-4EDB-BD4B-91B856258A30}"/>
            </a:ext>
          </a:extLst>
        </xdr:cNvPr>
        <xdr:cNvPicPr>
          <a:picLocks noChangeAspect="1"/>
        </xdr:cNvPicPr>
      </xdr:nvPicPr>
      <xdr:blipFill>
        <a:blip xmlns:r="http://schemas.openxmlformats.org/officeDocument/2006/relationships" r:embed="rId11">
          <a:duotone>
            <a:schemeClr val="accent4">
              <a:shade val="45000"/>
              <a:satMod val="135000"/>
            </a:schemeClr>
            <a:prstClr val="white"/>
          </a:duotone>
          <a:extLst>
            <a:ext uri="{BEBA8EAE-BF5A-486C-A8C5-ECC9F3942E4B}">
              <a14:imgProps xmlns:a14="http://schemas.microsoft.com/office/drawing/2010/main">
                <a14:imgLayer r:embed="rId12">
                  <a14:imgEffect>
                    <a14:colorTemperature colorTemp="4700"/>
                  </a14:imgEffect>
                  <a14:imgEffect>
                    <a14:saturation sat="0"/>
                  </a14:imgEffect>
                </a14:imgLayer>
              </a14:imgProps>
            </a:ext>
          </a:extLst>
        </a:blip>
        <a:stretch>
          <a:fillRect/>
        </a:stretch>
      </xdr:blipFill>
      <xdr:spPr>
        <a:xfrm>
          <a:off x="428831" y="2361046"/>
          <a:ext cx="1639455" cy="837398"/>
        </a:xfrm>
        <a:prstGeom prst="rect">
          <a:avLst/>
        </a:prstGeom>
      </xdr:spPr>
    </xdr:pic>
    <xdr:clientData/>
  </xdr:twoCellAnchor>
  <xdr:twoCellAnchor editAs="oneCell">
    <xdr:from>
      <xdr:col>0</xdr:col>
      <xdr:colOff>424502</xdr:colOff>
      <xdr:row>10</xdr:row>
      <xdr:rowOff>63501</xdr:rowOff>
    </xdr:from>
    <xdr:to>
      <xdr:col>3</xdr:col>
      <xdr:colOff>117929</xdr:colOff>
      <xdr:row>12</xdr:row>
      <xdr:rowOff>240029</xdr:rowOff>
    </xdr:to>
    <xdr:pic>
      <xdr:nvPicPr>
        <xdr:cNvPr id="22" name="Picture 22" descr="Paveikslėlis, kuriame yra ekrano kopija, Šriftas, tekstas, Grafika&#10;&#10;Automatiškai sugeneruotas aprašymas">
          <a:extLst>
            <a:ext uri="{FF2B5EF4-FFF2-40B4-BE49-F238E27FC236}">
              <a16:creationId xmlns:a16="http://schemas.microsoft.com/office/drawing/2014/main" id="{2DBC56C6-E3DD-44EA-B92C-7A000B096728}"/>
            </a:ext>
          </a:extLst>
        </xdr:cNvPr>
        <xdr:cNvPicPr>
          <a:picLocks noChangeAspect="1"/>
        </xdr:cNvPicPr>
      </xdr:nvPicPr>
      <xdr:blipFill>
        <a:blip xmlns:r="http://schemas.openxmlformats.org/officeDocument/2006/relationships" r:embed="rId13">
          <a:extLst>
            <a:ext uri="{BEBA8EAE-BF5A-486C-A8C5-ECC9F3942E4B}">
              <a14:imgProps xmlns:a14="http://schemas.microsoft.com/office/drawing/2010/main">
                <a14:imgLayer r:embed="rId14">
                  <a14:imgEffect>
                    <a14:colorTemperature colorTemp="5900"/>
                  </a14:imgEffect>
                  <a14:imgEffect>
                    <a14:saturation sat="66000"/>
                  </a14:imgEffect>
                </a14:imgLayer>
              </a14:imgProps>
            </a:ext>
          </a:extLst>
        </a:blip>
        <a:stretch>
          <a:fillRect/>
        </a:stretch>
      </xdr:blipFill>
      <xdr:spPr>
        <a:xfrm>
          <a:off x="424502" y="3356430"/>
          <a:ext cx="1625641" cy="786581"/>
        </a:xfrm>
        <a:prstGeom prst="rect">
          <a:avLst/>
        </a:prstGeom>
      </xdr:spPr>
    </xdr:pic>
    <xdr:clientData/>
  </xdr:twoCellAnchor>
  <xdr:oneCellAnchor>
    <xdr:from>
      <xdr:col>4</xdr:col>
      <xdr:colOff>122464</xdr:colOff>
      <xdr:row>35</xdr:row>
      <xdr:rowOff>149678</xdr:rowOff>
    </xdr:from>
    <xdr:ext cx="9593035" cy="264560"/>
    <xdr:sp macro="" textlink="">
      <xdr:nvSpPr>
        <xdr:cNvPr id="24" name="TextBox 23">
          <a:extLst>
            <a:ext uri="{FF2B5EF4-FFF2-40B4-BE49-F238E27FC236}">
              <a16:creationId xmlns:a16="http://schemas.microsoft.com/office/drawing/2014/main" id="{A69E0BD4-8785-4B1C-9E88-DA37D6756050}"/>
            </a:ext>
          </a:extLst>
        </xdr:cNvPr>
        <xdr:cNvSpPr txBox="1"/>
      </xdr:nvSpPr>
      <xdr:spPr>
        <a:xfrm>
          <a:off x="2708646" y="5275860"/>
          <a:ext cx="9593035"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endParaRPr lang="lt-LT" sz="1100" b="1">
            <a:solidFill>
              <a:schemeClr val="bg2">
                <a:lumMod val="50000"/>
              </a:schemeClr>
            </a:solidFill>
          </a:endParaRPr>
        </a:p>
      </xdr:txBody>
    </xdr:sp>
    <xdr:clientData/>
  </xdr:oneCellAnchor>
  <xdr:twoCellAnchor editAs="oneCell">
    <xdr:from>
      <xdr:col>0</xdr:col>
      <xdr:colOff>473366</xdr:colOff>
      <xdr:row>33</xdr:row>
      <xdr:rowOff>150089</xdr:rowOff>
    </xdr:from>
    <xdr:to>
      <xdr:col>3</xdr:col>
      <xdr:colOff>57728</xdr:colOff>
      <xdr:row>36</xdr:row>
      <xdr:rowOff>84511</xdr:rowOff>
    </xdr:to>
    <xdr:pic>
      <xdr:nvPicPr>
        <xdr:cNvPr id="25" name="Paveikslėlis 24">
          <a:extLst>
            <a:ext uri="{FF2B5EF4-FFF2-40B4-BE49-F238E27FC236}">
              <a16:creationId xmlns:a16="http://schemas.microsoft.com/office/drawing/2014/main" id="{B925169C-609D-09F0-A1BD-891E97350C31}"/>
            </a:ext>
          </a:extLst>
        </xdr:cNvPr>
        <xdr:cNvPicPr>
          <a:picLocks noChangeAspect="1"/>
        </xdr:cNvPicPr>
      </xdr:nvPicPr>
      <xdr:blipFill>
        <a:blip xmlns:r="http://schemas.openxmlformats.org/officeDocument/2006/relationships" r:embed="rId15"/>
        <a:stretch>
          <a:fillRect/>
        </a:stretch>
      </xdr:blipFill>
      <xdr:spPr>
        <a:xfrm>
          <a:off x="473366" y="7065816"/>
          <a:ext cx="1523998" cy="515818"/>
        </a:xfrm>
        <a:prstGeom prst="rect">
          <a:avLst/>
        </a:prstGeom>
      </xdr:spPr>
    </xdr:pic>
    <xdr:clientData/>
  </xdr:twoCellAnchor>
  <xdr:oneCellAnchor>
    <xdr:from>
      <xdr:col>6</xdr:col>
      <xdr:colOff>76282</xdr:colOff>
      <xdr:row>29</xdr:row>
      <xdr:rowOff>149678</xdr:rowOff>
    </xdr:from>
    <xdr:ext cx="9593035" cy="264560"/>
    <xdr:sp macro="" textlink="">
      <xdr:nvSpPr>
        <xdr:cNvPr id="27" name="TextBox 26">
          <a:extLst>
            <a:ext uri="{FF2B5EF4-FFF2-40B4-BE49-F238E27FC236}">
              <a16:creationId xmlns:a16="http://schemas.microsoft.com/office/drawing/2014/main" id="{9DF3FE0D-B3E1-4171-BCE1-8FA34951BF5F}"/>
            </a:ext>
          </a:extLst>
        </xdr:cNvPr>
        <xdr:cNvSpPr txBox="1"/>
      </xdr:nvSpPr>
      <xdr:spPr>
        <a:xfrm>
          <a:off x="3482191" y="6314951"/>
          <a:ext cx="9593035"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endParaRPr lang="lt-LT" sz="1100" b="1">
            <a:solidFill>
              <a:schemeClr val="bg2">
                <a:lumMod val="50000"/>
              </a:schemeClr>
            </a:solidFill>
          </a:endParaRPr>
        </a:p>
      </xdr:txBody>
    </xdr:sp>
    <xdr:clientData/>
  </xdr:oneCellAnchor>
  <xdr:oneCellAnchor>
    <xdr:from>
      <xdr:col>17</xdr:col>
      <xdr:colOff>9072</xdr:colOff>
      <xdr:row>39</xdr:row>
      <xdr:rowOff>72572</xdr:rowOff>
    </xdr:from>
    <xdr:ext cx="2149928" cy="435428"/>
    <xdr:sp macro="" textlink="">
      <xdr:nvSpPr>
        <xdr:cNvPr id="28" name="TextBox 27">
          <a:extLst>
            <a:ext uri="{FF2B5EF4-FFF2-40B4-BE49-F238E27FC236}">
              <a16:creationId xmlns:a16="http://schemas.microsoft.com/office/drawing/2014/main" id="{E1079B7C-5340-49BC-A918-66ED454A0CA4}"/>
            </a:ext>
          </a:extLst>
        </xdr:cNvPr>
        <xdr:cNvSpPr txBox="1"/>
      </xdr:nvSpPr>
      <xdr:spPr>
        <a:xfrm>
          <a:off x="13010697" y="8406947"/>
          <a:ext cx="2149928" cy="43542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pPr marL="0" marR="0" lvl="0" indent="0" defTabSz="914400" eaLnBrk="1" fontAlgn="auto" latinLnBrk="0" hangingPunct="1">
            <a:lnSpc>
              <a:spcPct val="100000"/>
            </a:lnSpc>
            <a:spcBef>
              <a:spcPts val="0"/>
            </a:spcBef>
            <a:spcAft>
              <a:spcPts val="0"/>
            </a:spcAft>
            <a:buClrTx/>
            <a:buSzTx/>
            <a:buFontTx/>
            <a:buNone/>
            <a:tabLst/>
            <a:defRPr/>
          </a:pPr>
          <a:r>
            <a:rPr kumimoji="0" lang="en-US" sz="1100" b="0" i="0" u="none" strike="noStrike" kern="0" cap="none" spc="0" normalizeH="0" baseline="0" noProof="0">
              <a:ln>
                <a:noFill/>
              </a:ln>
              <a:solidFill>
                <a:schemeClr val="accent3">
                  <a:lumMod val="25000"/>
                </a:schemeClr>
              </a:solidFill>
              <a:effectLst/>
              <a:uLnTx/>
              <a:uFillTx/>
              <a:latin typeface="+mn-lt"/>
              <a:ea typeface="+mn-ea"/>
              <a:cs typeface="+mn-cs"/>
            </a:rPr>
            <a:t>TI </a:t>
          </a:r>
          <a:r>
            <a:rPr kumimoji="0" lang="lt-LT" sz="1100" b="0" i="0" u="none" strike="noStrike" kern="0" cap="none" spc="0" normalizeH="0" baseline="0" noProof="0">
              <a:ln>
                <a:noFill/>
              </a:ln>
              <a:solidFill>
                <a:schemeClr val="accent3">
                  <a:lumMod val="25000"/>
                </a:schemeClr>
              </a:solidFill>
              <a:effectLst/>
              <a:uLnTx/>
              <a:uFillTx/>
              <a:latin typeface="+mn-lt"/>
              <a:ea typeface="+mn-ea"/>
              <a:cs typeface="+mn-cs"/>
            </a:rPr>
            <a:t> n</a:t>
          </a:r>
          <a:r>
            <a:rPr kumimoji="0" lang="en-US" sz="1100" b="0" i="0" u="none" strike="noStrike" kern="0" cap="none" spc="0" normalizeH="0" baseline="0" noProof="0">
              <a:ln>
                <a:noFill/>
              </a:ln>
              <a:solidFill>
                <a:schemeClr val="accent3">
                  <a:lumMod val="25000"/>
                </a:schemeClr>
              </a:solidFill>
              <a:effectLst/>
              <a:uLnTx/>
              <a:uFillTx/>
              <a:latin typeface="+mn-lt"/>
              <a:ea typeface="+mn-ea"/>
              <a:cs typeface="+mn-cs"/>
            </a:rPr>
            <a:t>eigiamas poveikis vir</a:t>
          </a:r>
          <a:r>
            <a:rPr kumimoji="0" lang="lt-LT" sz="1100" b="0" i="0" u="none" strike="noStrike" kern="0" cap="none" spc="0" normalizeH="0" baseline="0" noProof="0">
              <a:ln>
                <a:noFill/>
              </a:ln>
              <a:solidFill>
                <a:schemeClr val="accent3">
                  <a:lumMod val="25000"/>
                </a:schemeClr>
              </a:solidFill>
              <a:effectLst/>
              <a:uLnTx/>
              <a:uFillTx/>
              <a:latin typeface="+mn-lt"/>
              <a:ea typeface="+mn-ea"/>
              <a:cs typeface="+mn-cs"/>
            </a:rPr>
            <a:t>šija teisės aktais nustatytas ribines vertes.</a:t>
          </a:r>
        </a:p>
        <a:p>
          <a:endParaRPr lang="lt-LT" sz="1100" b="1">
            <a:solidFill>
              <a:schemeClr val="accent3">
                <a:lumMod val="25000"/>
              </a:schemeClr>
            </a:solidFill>
          </a:endParaRPr>
        </a:p>
      </xdr:txBody>
    </xdr:sp>
    <xdr:clientData/>
  </xdr:oneCellAnchor>
  <xdr:twoCellAnchor>
    <xdr:from>
      <xdr:col>15</xdr:col>
      <xdr:colOff>613354</xdr:colOff>
      <xdr:row>33</xdr:row>
      <xdr:rowOff>139989</xdr:rowOff>
    </xdr:from>
    <xdr:to>
      <xdr:col>16</xdr:col>
      <xdr:colOff>408068</xdr:colOff>
      <xdr:row>35</xdr:row>
      <xdr:rowOff>109917</xdr:rowOff>
    </xdr:to>
    <xdr:sp macro="" textlink="">
      <xdr:nvSpPr>
        <xdr:cNvPr id="29" name="Rectangle 16">
          <a:extLst>
            <a:ext uri="{FF2B5EF4-FFF2-40B4-BE49-F238E27FC236}">
              <a16:creationId xmlns:a16="http://schemas.microsoft.com/office/drawing/2014/main" id="{36679C3F-19F4-41FD-AF0F-94062CEB817F}"/>
            </a:ext>
          </a:extLst>
        </xdr:cNvPr>
        <xdr:cNvSpPr/>
      </xdr:nvSpPr>
      <xdr:spPr>
        <a:xfrm>
          <a:off x="12154479" y="6982114"/>
          <a:ext cx="683714" cy="382678"/>
        </a:xfrm>
        <a:prstGeom prst="rect">
          <a:avLst/>
        </a:prstGeom>
        <a:solidFill>
          <a:schemeClr val="accent5">
            <a:lumMod val="40000"/>
            <a:lumOff val="60000"/>
          </a:schemeClr>
        </a:solidFill>
        <a:ln>
          <a:solidFill>
            <a:srgbClr val="C0C0C0"/>
          </a:solidFill>
          <a:prstDash val="sysDash"/>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lt-LT" sz="1100"/>
        </a:p>
      </xdr:txBody>
    </xdr:sp>
    <xdr:clientData/>
  </xdr:twoCellAnchor>
  <xdr:twoCellAnchor>
    <xdr:from>
      <xdr:col>15</xdr:col>
      <xdr:colOff>612278</xdr:colOff>
      <xdr:row>36</xdr:row>
      <xdr:rowOff>13196</xdr:rowOff>
    </xdr:from>
    <xdr:to>
      <xdr:col>16</xdr:col>
      <xdr:colOff>406992</xdr:colOff>
      <xdr:row>37</xdr:row>
      <xdr:rowOff>1721</xdr:rowOff>
    </xdr:to>
    <xdr:sp macro="" textlink="">
      <xdr:nvSpPr>
        <xdr:cNvPr id="30" name="Rectangle 17">
          <a:extLst>
            <a:ext uri="{FF2B5EF4-FFF2-40B4-BE49-F238E27FC236}">
              <a16:creationId xmlns:a16="http://schemas.microsoft.com/office/drawing/2014/main" id="{EF5DDAFF-7AF3-441F-9B88-33E55B89A900}"/>
            </a:ext>
            <a:ext uri="{147F2762-F138-4A5C-976F-8EAC2B608ADB}">
              <a16:predDERef xmlns:a16="http://schemas.microsoft.com/office/drawing/2014/main" pred="{36679C3F-19F4-41FD-AF0F-94062CEB817F}"/>
            </a:ext>
          </a:extLst>
        </xdr:cNvPr>
        <xdr:cNvSpPr/>
      </xdr:nvSpPr>
      <xdr:spPr>
        <a:xfrm>
          <a:off x="12194678" y="7233146"/>
          <a:ext cx="680539" cy="188550"/>
        </a:xfrm>
        <a:prstGeom prst="rect">
          <a:avLst/>
        </a:prstGeom>
        <a:solidFill>
          <a:schemeClr val="tx1">
            <a:lumMod val="60000"/>
            <a:lumOff val="40000"/>
          </a:schemeClr>
        </a:solidFill>
        <a:ln>
          <a:solidFill>
            <a:srgbClr val="C0C0C0"/>
          </a:solidFill>
          <a:prstDash val="sysDash"/>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lt-LT" sz="1100"/>
        </a:p>
      </xdr:txBody>
    </xdr:sp>
    <xdr:clientData/>
  </xdr:twoCellAnchor>
  <xdr:oneCellAnchor>
    <xdr:from>
      <xdr:col>12</xdr:col>
      <xdr:colOff>154214</xdr:colOff>
      <xdr:row>37</xdr:row>
      <xdr:rowOff>13610</xdr:rowOff>
    </xdr:from>
    <xdr:ext cx="2027464" cy="264560"/>
    <xdr:sp macro="" textlink="">
      <xdr:nvSpPr>
        <xdr:cNvPr id="31" name="TextBox 18">
          <a:extLst>
            <a:ext uri="{FF2B5EF4-FFF2-40B4-BE49-F238E27FC236}">
              <a16:creationId xmlns:a16="http://schemas.microsoft.com/office/drawing/2014/main" id="{9C33FB84-F287-44AF-80C0-D5438CF3CE4E}"/>
            </a:ext>
            <a:ext uri="{147F2762-F138-4A5C-976F-8EAC2B608ADB}">
              <a16:predDERef xmlns:a16="http://schemas.microsoft.com/office/drawing/2014/main" pred="{B0F2A53F-9034-7542-9096-34B50089C2F8}"/>
            </a:ext>
          </a:extLst>
        </xdr:cNvPr>
        <xdr:cNvSpPr txBox="1"/>
      </xdr:nvSpPr>
      <xdr:spPr>
        <a:xfrm>
          <a:off x="10250714" y="7068460"/>
          <a:ext cx="2027464"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endParaRPr lang="lt-LT" sz="1100">
            <a:solidFill>
              <a:schemeClr val="bg2">
                <a:lumMod val="50000"/>
              </a:schemeClr>
            </a:solidFill>
          </a:endParaRPr>
        </a:p>
      </xdr:txBody>
    </xdr:sp>
    <xdr:clientData/>
  </xdr:oneCellAnchor>
  <xdr:oneCellAnchor>
    <xdr:from>
      <xdr:col>12</xdr:col>
      <xdr:colOff>166008</xdr:colOff>
      <xdr:row>39</xdr:row>
      <xdr:rowOff>108859</xdr:rowOff>
    </xdr:from>
    <xdr:ext cx="2027464" cy="264560"/>
    <xdr:sp macro="" textlink="">
      <xdr:nvSpPr>
        <xdr:cNvPr id="32" name="TextBox 19">
          <a:extLst>
            <a:ext uri="{FF2B5EF4-FFF2-40B4-BE49-F238E27FC236}">
              <a16:creationId xmlns:a16="http://schemas.microsoft.com/office/drawing/2014/main" id="{FCCA8414-DFF4-4B22-950A-574987D41B2C}"/>
            </a:ext>
          </a:extLst>
        </xdr:cNvPr>
        <xdr:cNvSpPr txBox="1"/>
      </xdr:nvSpPr>
      <xdr:spPr>
        <a:xfrm>
          <a:off x="10259333" y="7544709"/>
          <a:ext cx="2027464"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endParaRPr lang="lt-LT" sz="1100">
            <a:solidFill>
              <a:schemeClr val="bg2">
                <a:lumMod val="50000"/>
              </a:schemeClr>
            </a:solidFill>
          </a:endParaRPr>
        </a:p>
      </xdr:txBody>
    </xdr:sp>
    <xdr:clientData/>
  </xdr:oneCellAnchor>
  <xdr:oneCellAnchor>
    <xdr:from>
      <xdr:col>4</xdr:col>
      <xdr:colOff>165760</xdr:colOff>
      <xdr:row>30</xdr:row>
      <xdr:rowOff>48653</xdr:rowOff>
    </xdr:from>
    <xdr:ext cx="10350912" cy="264560"/>
    <xdr:sp macro="" textlink="">
      <xdr:nvSpPr>
        <xdr:cNvPr id="33" name="TextBox 10">
          <a:extLst>
            <a:ext uri="{FF2B5EF4-FFF2-40B4-BE49-F238E27FC236}">
              <a16:creationId xmlns:a16="http://schemas.microsoft.com/office/drawing/2014/main" id="{9112A2B1-C65F-4175-A043-4E123983EE14}"/>
            </a:ext>
            <a:ext uri="{147F2762-F138-4A5C-976F-8EAC2B608ADB}">
              <a16:predDERef xmlns:a16="http://schemas.microsoft.com/office/drawing/2014/main" pred="{78860406-061F-4C42-9909-2621068EF378}"/>
            </a:ext>
          </a:extLst>
        </xdr:cNvPr>
        <xdr:cNvSpPr txBox="1"/>
      </xdr:nvSpPr>
      <xdr:spPr>
        <a:xfrm>
          <a:off x="2742046" y="6389582"/>
          <a:ext cx="10350912"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lang="lt-LT" sz="1100" b="1">
              <a:solidFill>
                <a:schemeClr val="accent3">
                  <a:lumMod val="25000"/>
                </a:schemeClr>
              </a:solidFill>
              <a:latin typeface="+mn-lt"/>
            </a:rPr>
            <a:t>ŽYMĖJIMAI IR PASTABOS</a:t>
          </a:r>
        </a:p>
      </xdr:txBody>
    </xdr:sp>
    <xdr:clientData/>
  </xdr:oneCellAnchor>
  <xdr:oneCellAnchor>
    <xdr:from>
      <xdr:col>4</xdr:col>
      <xdr:colOff>119785</xdr:colOff>
      <xdr:row>31</xdr:row>
      <xdr:rowOff>82467</xdr:rowOff>
    </xdr:from>
    <xdr:ext cx="5507181" cy="436786"/>
    <xdr:sp macro="" textlink="">
      <xdr:nvSpPr>
        <xdr:cNvPr id="34" name="TextBox 10">
          <a:extLst>
            <a:ext uri="{FF2B5EF4-FFF2-40B4-BE49-F238E27FC236}">
              <a16:creationId xmlns:a16="http://schemas.microsoft.com/office/drawing/2014/main" id="{1CB81EC1-A87A-4FB5-B49C-D872D0917B67}"/>
            </a:ext>
            <a:ext uri="{147F2762-F138-4A5C-976F-8EAC2B608ADB}">
              <a16:predDERef xmlns:a16="http://schemas.microsoft.com/office/drawing/2014/main" pred="{78860406-061F-4C42-9909-2621068EF378}"/>
            </a:ext>
          </a:extLst>
        </xdr:cNvPr>
        <xdr:cNvSpPr txBox="1"/>
      </xdr:nvSpPr>
      <xdr:spPr>
        <a:xfrm>
          <a:off x="2659785" y="6622967"/>
          <a:ext cx="5507181" cy="436786"/>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pPr marL="0" marR="0" lvl="0" indent="0" defTabSz="914400" eaLnBrk="1" fontAlgn="auto" latinLnBrk="0" hangingPunct="1">
            <a:lnSpc>
              <a:spcPct val="100000"/>
            </a:lnSpc>
            <a:spcBef>
              <a:spcPts val="0"/>
            </a:spcBef>
            <a:spcAft>
              <a:spcPts val="0"/>
            </a:spcAft>
            <a:buClrTx/>
            <a:buSzTx/>
            <a:buFontTx/>
            <a:buNone/>
            <a:tabLst/>
            <a:defRPr/>
          </a:pPr>
          <a:r>
            <a:rPr kumimoji="0" lang="lt-LT" sz="1100" b="0" i="0" u="none" strike="noStrike" kern="0" cap="none" spc="0" normalizeH="0" baseline="0" noProof="0">
              <a:ln>
                <a:noFill/>
              </a:ln>
              <a:solidFill>
                <a:srgbClr val="F4FAF6">
                  <a:lumMod val="25000"/>
                </a:srgbClr>
              </a:solidFill>
              <a:effectLst/>
              <a:uLnTx/>
              <a:uFillTx/>
              <a:latin typeface="+mn-lt"/>
              <a:ea typeface="+mn-ea"/>
              <a:cs typeface="+mn-cs"/>
            </a:rPr>
            <a:t>* Siūlomi įvesties duomenys.</a:t>
          </a:r>
        </a:p>
        <a:p>
          <a:pPr marL="0" marR="0" lvl="0" indent="0" defTabSz="914400" eaLnBrk="1" fontAlgn="auto" latinLnBrk="0" hangingPunct="1">
            <a:lnSpc>
              <a:spcPct val="100000"/>
            </a:lnSpc>
            <a:spcBef>
              <a:spcPts val="0"/>
            </a:spcBef>
            <a:spcAft>
              <a:spcPts val="0"/>
            </a:spcAft>
            <a:buClrTx/>
            <a:buSzTx/>
            <a:buFontTx/>
            <a:buNone/>
            <a:tabLst/>
            <a:defRPr/>
          </a:pPr>
          <a:r>
            <a:rPr kumimoji="0" lang="lt-LT" sz="1100" b="0" i="0" u="none" strike="noStrike" kern="0" cap="none" spc="0" normalizeH="0" baseline="0" noProof="0">
              <a:ln>
                <a:noFill/>
              </a:ln>
              <a:solidFill>
                <a:srgbClr val="F4FAF6">
                  <a:lumMod val="25000"/>
                </a:srgbClr>
              </a:solidFill>
              <a:effectLst/>
              <a:uLnTx/>
              <a:uFillTx/>
              <a:latin typeface="+mn-lt"/>
              <a:ea typeface="+mn-ea"/>
              <a:cs typeface="+mn-cs"/>
            </a:rPr>
            <a:t> Transporto priemonių skaičiaus (vnt.) registras.</a:t>
          </a:r>
        </a:p>
      </xdr:txBody>
    </xdr:sp>
    <xdr:clientData/>
  </xdr:oneCellAnchor>
  <xdr:oneCellAnchor>
    <xdr:from>
      <xdr:col>16</xdr:col>
      <xdr:colOff>571046</xdr:colOff>
      <xdr:row>33</xdr:row>
      <xdr:rowOff>199572</xdr:rowOff>
    </xdr:from>
    <xdr:ext cx="2122715" cy="371927"/>
    <xdr:sp macro="" textlink="">
      <xdr:nvSpPr>
        <xdr:cNvPr id="35" name="TextBox 18">
          <a:extLst>
            <a:ext uri="{FF2B5EF4-FFF2-40B4-BE49-F238E27FC236}">
              <a16:creationId xmlns:a16="http://schemas.microsoft.com/office/drawing/2014/main" id="{FFEED2C4-4EE9-4549-927C-BCC77348BDDF}"/>
            </a:ext>
            <a:ext uri="{147F2762-F138-4A5C-976F-8EAC2B608ADB}">
              <a16:predDERef xmlns:a16="http://schemas.microsoft.com/office/drawing/2014/main" pred="{B0F2A53F-9034-7542-9096-34B50089C2F8}"/>
            </a:ext>
          </a:extLst>
        </xdr:cNvPr>
        <xdr:cNvSpPr txBox="1"/>
      </xdr:nvSpPr>
      <xdr:spPr>
        <a:xfrm>
          <a:off x="13001171" y="7041697"/>
          <a:ext cx="2122715" cy="3719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pPr marL="0" marR="0" lvl="0" indent="0" defTabSz="914400" eaLnBrk="1" fontAlgn="auto" latinLnBrk="0" hangingPunct="1">
            <a:lnSpc>
              <a:spcPct val="100000"/>
            </a:lnSpc>
            <a:spcBef>
              <a:spcPts val="0"/>
            </a:spcBef>
            <a:spcAft>
              <a:spcPts val="0"/>
            </a:spcAft>
            <a:buClrTx/>
            <a:buSzTx/>
            <a:buFontTx/>
            <a:buNone/>
            <a:tabLst/>
            <a:defRPr/>
          </a:pPr>
          <a:r>
            <a:rPr kumimoji="0" lang="lt-LT" sz="1100" b="0" i="0" u="none" strike="noStrike" kern="0" cap="none" spc="0" normalizeH="0" baseline="0" noProof="0">
              <a:ln>
                <a:noFill/>
              </a:ln>
              <a:solidFill>
                <a:schemeClr val="accent3">
                  <a:lumMod val="25000"/>
                </a:schemeClr>
              </a:solidFill>
              <a:effectLst/>
              <a:uLnTx/>
              <a:uFillTx/>
              <a:latin typeface="+mn-lt"/>
              <a:ea typeface="+mn-ea"/>
              <a:cs typeface="+mn-cs"/>
            </a:rPr>
            <a:t>pasirinkimo laukelis vartotojui;</a:t>
          </a:r>
        </a:p>
        <a:p>
          <a:endParaRPr lang="lt-LT" sz="1100">
            <a:solidFill>
              <a:schemeClr val="accent3">
                <a:lumMod val="25000"/>
              </a:schemeClr>
            </a:solidFill>
          </a:endParaRPr>
        </a:p>
      </xdr:txBody>
    </xdr:sp>
    <xdr:clientData/>
  </xdr:oneCellAnchor>
  <xdr:twoCellAnchor>
    <xdr:from>
      <xdr:col>15</xdr:col>
      <xdr:colOff>626999</xdr:colOff>
      <xdr:row>37</xdr:row>
      <xdr:rowOff>71049</xdr:rowOff>
    </xdr:from>
    <xdr:to>
      <xdr:col>16</xdr:col>
      <xdr:colOff>421713</xdr:colOff>
      <xdr:row>39</xdr:row>
      <xdr:rowOff>36442</xdr:rowOff>
    </xdr:to>
    <xdr:sp macro="" textlink="">
      <xdr:nvSpPr>
        <xdr:cNvPr id="36" name="Rectangle 21">
          <a:extLst>
            <a:ext uri="{FF2B5EF4-FFF2-40B4-BE49-F238E27FC236}">
              <a16:creationId xmlns:a16="http://schemas.microsoft.com/office/drawing/2014/main" id="{D5BFB804-4909-4426-8869-C34A5B537E02}"/>
            </a:ext>
            <a:ext uri="{147F2762-F138-4A5C-976F-8EAC2B608ADB}">
              <a16:predDERef xmlns:a16="http://schemas.microsoft.com/office/drawing/2014/main" pred="{FFEED2C4-4EE9-4549-927C-BCC77348BDDF}"/>
            </a:ext>
          </a:extLst>
        </xdr:cNvPr>
        <xdr:cNvSpPr/>
      </xdr:nvSpPr>
      <xdr:spPr>
        <a:xfrm>
          <a:off x="12209399" y="7643424"/>
          <a:ext cx="680539" cy="336868"/>
        </a:xfrm>
        <a:prstGeom prst="rect">
          <a:avLst/>
        </a:prstGeom>
        <a:solidFill>
          <a:srgbClr val="FFFFFF"/>
        </a:solidFill>
        <a:ln>
          <a:solidFill>
            <a:srgbClr val="C0C0C0"/>
          </a:solidFill>
          <a:prstDash val="sysDash"/>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lt-LT" sz="1100"/>
        </a:p>
      </xdr:txBody>
    </xdr:sp>
    <xdr:clientData/>
  </xdr:twoCellAnchor>
  <xdr:oneCellAnchor>
    <xdr:from>
      <xdr:col>17</xdr:col>
      <xdr:colOff>18144</xdr:colOff>
      <xdr:row>37</xdr:row>
      <xdr:rowOff>29483</xdr:rowOff>
    </xdr:from>
    <xdr:ext cx="2231570" cy="381000"/>
    <xdr:sp macro="" textlink="">
      <xdr:nvSpPr>
        <xdr:cNvPr id="37" name="TextBox 27">
          <a:extLst>
            <a:ext uri="{FF2B5EF4-FFF2-40B4-BE49-F238E27FC236}">
              <a16:creationId xmlns:a16="http://schemas.microsoft.com/office/drawing/2014/main" id="{106C37CF-0B62-4E13-BA71-FEE6AD39F564}"/>
            </a:ext>
          </a:extLst>
        </xdr:cNvPr>
        <xdr:cNvSpPr txBox="1"/>
      </xdr:nvSpPr>
      <xdr:spPr>
        <a:xfrm>
          <a:off x="13019769" y="7982858"/>
          <a:ext cx="2231570" cy="38100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pPr marL="0" marR="0" lvl="0" indent="0" defTabSz="914400" eaLnBrk="1" fontAlgn="auto" latinLnBrk="0" hangingPunct="1">
            <a:lnSpc>
              <a:spcPct val="100000"/>
            </a:lnSpc>
            <a:spcBef>
              <a:spcPts val="0"/>
            </a:spcBef>
            <a:spcAft>
              <a:spcPts val="0"/>
            </a:spcAft>
            <a:buClrTx/>
            <a:buSzTx/>
            <a:buFontTx/>
            <a:buNone/>
            <a:tabLst/>
            <a:defRPr/>
          </a:pPr>
          <a:r>
            <a:rPr kumimoji="0" lang="lt-LT" sz="1100" b="0" i="0" u="none" strike="noStrike" kern="0" cap="none" spc="0" normalizeH="0" baseline="0" noProof="0">
              <a:ln>
                <a:noFill/>
              </a:ln>
              <a:solidFill>
                <a:schemeClr val="accent3">
                  <a:lumMod val="25000"/>
                </a:schemeClr>
              </a:solidFill>
              <a:effectLst/>
              <a:uLnTx/>
              <a:uFillTx/>
              <a:latin typeface="+mn-lt"/>
              <a:ea typeface="+mn-ea"/>
              <a:cs typeface="+mn-cs"/>
            </a:rPr>
            <a:t>įvestis negalima;</a:t>
          </a:r>
        </a:p>
        <a:p>
          <a:endParaRPr lang="lt-LT" sz="1100">
            <a:solidFill>
              <a:schemeClr val="accent3">
                <a:lumMod val="25000"/>
              </a:schemeClr>
            </a:solidFill>
          </a:endParaRPr>
        </a:p>
      </xdr:txBody>
    </xdr:sp>
    <xdr:clientData/>
  </xdr:oneCellAnchor>
  <xdr:twoCellAnchor editAs="oneCell">
    <xdr:from>
      <xdr:col>1</xdr:col>
      <xdr:colOff>288636</xdr:colOff>
      <xdr:row>36</xdr:row>
      <xdr:rowOff>184729</xdr:rowOff>
    </xdr:from>
    <xdr:to>
      <xdr:col>2</xdr:col>
      <xdr:colOff>150089</xdr:colOff>
      <xdr:row>39</xdr:row>
      <xdr:rowOff>45108</xdr:rowOff>
    </xdr:to>
    <xdr:pic>
      <xdr:nvPicPr>
        <xdr:cNvPr id="26" name="Paveikslėlis 25">
          <a:extLst>
            <a:ext uri="{FF2B5EF4-FFF2-40B4-BE49-F238E27FC236}">
              <a16:creationId xmlns:a16="http://schemas.microsoft.com/office/drawing/2014/main" id="{A540DFDD-0D3C-84EE-006B-1F054D976A8E}"/>
            </a:ext>
          </a:extLst>
        </xdr:cNvPr>
        <xdr:cNvPicPr>
          <a:picLocks noChangeAspect="1" noChangeArrowheads="1"/>
        </xdr:cNvPicPr>
      </xdr:nvPicPr>
      <xdr:blipFill>
        <a:blip xmlns:r="http://schemas.openxmlformats.org/officeDocument/2006/relationships" r:embed="rId16">
          <a:extLst>
            <a:ext uri="{28A0092B-C50C-407E-A947-70E740481C1C}">
              <a14:useLocalDpi xmlns:a14="http://schemas.microsoft.com/office/drawing/2010/main" val="0"/>
            </a:ext>
          </a:extLst>
        </a:blip>
        <a:srcRect/>
        <a:stretch>
          <a:fillRect/>
        </a:stretch>
      </xdr:blipFill>
      <xdr:spPr bwMode="auto">
        <a:xfrm>
          <a:off x="935181" y="7654638"/>
          <a:ext cx="507999" cy="618504"/>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25399</xdr:colOff>
      <xdr:row>39</xdr:row>
      <xdr:rowOff>9237</xdr:rowOff>
    </xdr:from>
    <xdr:to>
      <xdr:col>2</xdr:col>
      <xdr:colOff>492244</xdr:colOff>
      <xdr:row>40</xdr:row>
      <xdr:rowOff>119491</xdr:rowOff>
    </xdr:to>
    <xdr:pic>
      <xdr:nvPicPr>
        <xdr:cNvPr id="42" name="Paveikslėlis 41">
          <a:extLst>
            <a:ext uri="{FF2B5EF4-FFF2-40B4-BE49-F238E27FC236}">
              <a16:creationId xmlns:a16="http://schemas.microsoft.com/office/drawing/2014/main" id="{4924D2C8-54E5-F139-08AA-4D09C3339B54}"/>
            </a:ext>
            <a:ext uri="{147F2762-F138-4A5C-976F-8EAC2B608ADB}">
              <a16:predDERef xmlns:a16="http://schemas.microsoft.com/office/drawing/2014/main" pred="{A540DFDD-0D3C-84EE-006B-1F054D976A8E}"/>
            </a:ext>
          </a:extLst>
        </xdr:cNvPr>
        <xdr:cNvPicPr>
          <a:picLocks noChangeAspect="1"/>
        </xdr:cNvPicPr>
      </xdr:nvPicPr>
      <xdr:blipFill>
        <a:blip xmlns:r="http://schemas.openxmlformats.org/officeDocument/2006/relationships" r:embed="rId17"/>
        <a:stretch>
          <a:fillRect/>
        </a:stretch>
      </xdr:blipFill>
      <xdr:spPr>
        <a:xfrm>
          <a:off x="634999" y="8257887"/>
          <a:ext cx="1076445" cy="300753"/>
        </a:xfrm>
        <a:prstGeom prst="rect">
          <a:avLst/>
        </a:prstGeom>
      </xdr:spPr>
    </xdr:pic>
    <xdr:clientData/>
  </xdr:twoCellAnchor>
  <xdr:twoCellAnchor>
    <xdr:from>
      <xdr:col>18</xdr:col>
      <xdr:colOff>230908</xdr:colOff>
      <xdr:row>4</xdr:row>
      <xdr:rowOff>115454</xdr:rowOff>
    </xdr:from>
    <xdr:to>
      <xdr:col>28</xdr:col>
      <xdr:colOff>946726</xdr:colOff>
      <xdr:row>27</xdr:row>
      <xdr:rowOff>0</xdr:rowOff>
    </xdr:to>
    <xdr:graphicFrame macro="">
      <xdr:nvGraphicFramePr>
        <xdr:cNvPr id="53" name="Diagrama 52">
          <a:extLst>
            <a:ext uri="{FF2B5EF4-FFF2-40B4-BE49-F238E27FC236}">
              <a16:creationId xmlns:a16="http://schemas.microsoft.com/office/drawing/2014/main" id="{504FC0CC-1FDA-077F-AE04-72027D697E6F}"/>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8"/>
        </a:graphicData>
      </a:graphic>
    </xdr:graphicFrame>
    <xdr:clientData/>
  </xdr:twoCellAnchor>
  <xdr:twoCellAnchor>
    <xdr:from>
      <xdr:col>15</xdr:col>
      <xdr:colOff>628650</xdr:colOff>
      <xdr:row>39</xdr:row>
      <xdr:rowOff>85725</xdr:rowOff>
    </xdr:from>
    <xdr:to>
      <xdr:col>16</xdr:col>
      <xdr:colOff>428625</xdr:colOff>
      <xdr:row>41</xdr:row>
      <xdr:rowOff>104775</xdr:rowOff>
    </xdr:to>
    <xdr:sp macro="" textlink="">
      <xdr:nvSpPr>
        <xdr:cNvPr id="7" name="Rectangle 21">
          <a:extLst>
            <a:ext uri="{FF2B5EF4-FFF2-40B4-BE49-F238E27FC236}">
              <a16:creationId xmlns:a16="http://schemas.microsoft.com/office/drawing/2014/main" id="{58BC33CD-FCDE-4265-AEA6-08B2A816CC21}"/>
            </a:ext>
            <a:ext uri="{147F2762-F138-4A5C-976F-8EAC2B608ADB}">
              <a16:predDERef xmlns:a16="http://schemas.microsoft.com/office/drawing/2014/main" pred="{504FC0CC-1FDA-077F-AE04-72027D697E6F}"/>
            </a:ext>
          </a:extLst>
        </xdr:cNvPr>
        <xdr:cNvSpPr/>
      </xdr:nvSpPr>
      <xdr:spPr>
        <a:xfrm>
          <a:off x="12211050" y="8029575"/>
          <a:ext cx="685800" cy="381000"/>
        </a:xfrm>
        <a:prstGeom prst="rect">
          <a:avLst/>
        </a:prstGeom>
        <a:solidFill>
          <a:srgbClr val="8FCEA5"/>
        </a:solidFill>
        <a:ln>
          <a:solidFill>
            <a:srgbClr val="C0C0C0"/>
          </a:solidFill>
          <a:prstDash val="sysDash"/>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100">
              <a:solidFill>
                <a:srgbClr val="FFFFFF"/>
              </a:solidFill>
            </a:rPr>
            <a:t>-0,01</a:t>
          </a:r>
          <a:endParaRPr lang="lt-LT" sz="1100">
            <a:solidFill>
              <a:srgbClr val="FFFFFF"/>
            </a:solidFill>
          </a:endParaRPr>
        </a:p>
      </xdr:txBody>
    </xdr:sp>
    <xdr:clientData/>
  </xdr:twoCellAnchor>
  <xdr:oneCellAnchor>
    <xdr:from>
      <xdr:col>17</xdr:col>
      <xdr:colOff>9072</xdr:colOff>
      <xdr:row>36</xdr:row>
      <xdr:rowOff>70305</xdr:rowOff>
    </xdr:from>
    <xdr:ext cx="2295071" cy="417285"/>
    <xdr:sp macro="" textlink="">
      <xdr:nvSpPr>
        <xdr:cNvPr id="16" name="TextBox 18">
          <a:extLst>
            <a:ext uri="{FF2B5EF4-FFF2-40B4-BE49-F238E27FC236}">
              <a16:creationId xmlns:a16="http://schemas.microsoft.com/office/drawing/2014/main" id="{0C0C5BB2-5831-4B0B-BBE5-FE2135F542A6}"/>
            </a:ext>
            <a:ext uri="{147F2762-F138-4A5C-976F-8EAC2B608ADB}">
              <a16:predDERef xmlns:a16="http://schemas.microsoft.com/office/drawing/2014/main" pred="{B0F2A53F-9034-7542-9096-34B50089C2F8}"/>
            </a:ext>
          </a:extLst>
        </xdr:cNvPr>
        <xdr:cNvSpPr txBox="1"/>
      </xdr:nvSpPr>
      <xdr:spPr>
        <a:xfrm>
          <a:off x="13010697" y="7531555"/>
          <a:ext cx="2295071" cy="4172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pPr marL="0" marR="0" lvl="0" indent="0" defTabSz="914400" eaLnBrk="1" fontAlgn="auto" latinLnBrk="0" hangingPunct="1">
            <a:lnSpc>
              <a:spcPct val="100000"/>
            </a:lnSpc>
            <a:spcBef>
              <a:spcPts val="0"/>
            </a:spcBef>
            <a:spcAft>
              <a:spcPts val="0"/>
            </a:spcAft>
            <a:buClrTx/>
            <a:buSzTx/>
            <a:buFontTx/>
            <a:buNone/>
            <a:tabLst/>
            <a:defRPr/>
          </a:pPr>
          <a:r>
            <a:rPr kumimoji="0" lang="lt-LT" sz="1100" b="0" i="0" u="none" strike="noStrike" kern="0" cap="none" spc="0" normalizeH="0" baseline="0" noProof="0">
              <a:ln>
                <a:noFill/>
              </a:ln>
              <a:solidFill>
                <a:schemeClr val="accent3">
                  <a:lumMod val="25000"/>
                </a:schemeClr>
              </a:solidFill>
              <a:effectLst/>
              <a:uLnTx/>
              <a:uFillTx/>
              <a:latin typeface="+mn-lt"/>
              <a:ea typeface="+mn-ea"/>
              <a:cs typeface="+mn-cs"/>
            </a:rPr>
            <a:t>įvesties laukelis vartotojui;</a:t>
          </a:r>
        </a:p>
        <a:p>
          <a:endParaRPr lang="lt-LT" sz="1100">
            <a:solidFill>
              <a:schemeClr val="accent3">
                <a:lumMod val="25000"/>
              </a:schemeClr>
            </a:solidFill>
          </a:endParaRPr>
        </a:p>
      </xdr:txBody>
    </xdr:sp>
    <xdr:clientData/>
  </xdr:oneCellAnchor>
  <xdr:twoCellAnchor>
    <xdr:from>
      <xdr:col>5</xdr:col>
      <xdr:colOff>10583</xdr:colOff>
      <xdr:row>1</xdr:row>
      <xdr:rowOff>285751</xdr:rowOff>
    </xdr:from>
    <xdr:to>
      <xdr:col>16</xdr:col>
      <xdr:colOff>0</xdr:colOff>
      <xdr:row>4</xdr:row>
      <xdr:rowOff>63500</xdr:rowOff>
    </xdr:to>
    <xdr:sp macro="" textlink="">
      <xdr:nvSpPr>
        <xdr:cNvPr id="4" name="TextBox 5">
          <a:extLst>
            <a:ext uri="{FF2B5EF4-FFF2-40B4-BE49-F238E27FC236}">
              <a16:creationId xmlns:a16="http://schemas.microsoft.com/office/drawing/2014/main" id="{68EC696A-0162-4D77-BE37-38181A81610A}"/>
            </a:ext>
          </a:extLst>
        </xdr:cNvPr>
        <xdr:cNvSpPr txBox="1"/>
      </xdr:nvSpPr>
      <xdr:spPr>
        <a:xfrm>
          <a:off x="2772833" y="465668"/>
          <a:ext cx="10329334" cy="486832"/>
        </a:xfrm>
        <a:prstGeom prst="rect">
          <a:avLst/>
        </a:prstGeom>
        <a:solidFill>
          <a:schemeClr val="accent5">
            <a:lumMod val="40000"/>
            <a:lumOff val="60000"/>
          </a:schemeClr>
        </a:solidFill>
        <a:ln w="9525" cmpd="sng">
          <a:solidFill>
            <a:schemeClr val="bg1">
              <a:lumMod val="20000"/>
              <a:lumOff val="80000"/>
            </a:schemeClr>
          </a:solidFill>
        </a:ln>
        <a:effectLst/>
      </xdr:spPr>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US" sz="1100" b="1" i="0" u="none" strike="noStrike" kern="0" cap="none" spc="0" normalizeH="0" baseline="0" noProof="0">
              <a:ln>
                <a:noFill/>
              </a:ln>
              <a:solidFill>
                <a:srgbClr val="F4FAF6">
                  <a:lumMod val="25000"/>
                </a:srgbClr>
              </a:solidFill>
              <a:effectLst/>
              <a:uLnTx/>
              <a:uFillTx/>
              <a:latin typeface="+mn-lt"/>
              <a:ea typeface="+mn-ea"/>
              <a:cs typeface="+mn-cs"/>
            </a:rPr>
            <a:t>KELI</a:t>
          </a:r>
          <a:r>
            <a:rPr kumimoji="0" lang="lt-LT" sz="1100" b="1" i="0" u="none" strike="noStrike" kern="0" cap="none" spc="0" normalizeH="0" baseline="0" noProof="0">
              <a:ln>
                <a:noFill/>
              </a:ln>
              <a:solidFill>
                <a:srgbClr val="F4FAF6">
                  <a:lumMod val="25000"/>
                </a:srgbClr>
              </a:solidFill>
              <a:effectLst/>
              <a:uLnTx/>
              <a:uFillTx/>
              <a:latin typeface="+mn-lt"/>
              <a:ea typeface="+mn-ea"/>
              <a:cs typeface="+mn-cs"/>
            </a:rPr>
            <a:t>Ų TRANSPORTO PRIEMONIŲ DEGALŲ RŪŠIES REGULIAVIMO POVEIKIO VERTINIMO SKAIČIUOKLĖ</a:t>
          </a:r>
        </a:p>
      </xdr:txBody>
    </xdr:sp>
    <xdr:clientData/>
  </xdr:twoCellAnchor>
  <xdr:twoCellAnchor>
    <xdr:from>
      <xdr:col>0</xdr:col>
      <xdr:colOff>498475</xdr:colOff>
      <xdr:row>42</xdr:row>
      <xdr:rowOff>85725</xdr:rowOff>
    </xdr:from>
    <xdr:to>
      <xdr:col>3</xdr:col>
      <xdr:colOff>318352</xdr:colOff>
      <xdr:row>51</xdr:row>
      <xdr:rowOff>29273</xdr:rowOff>
    </xdr:to>
    <xdr:grpSp>
      <xdr:nvGrpSpPr>
        <xdr:cNvPr id="14" name="Grupė 13">
          <a:extLst>
            <a:ext uri="{FF2B5EF4-FFF2-40B4-BE49-F238E27FC236}">
              <a16:creationId xmlns:a16="http://schemas.microsoft.com/office/drawing/2014/main" id="{222575D2-66D2-4005-A05B-1B470980A041}"/>
            </a:ext>
            <a:ext uri="{147F2762-F138-4A5C-976F-8EAC2B608ADB}">
              <a16:predDERef xmlns:a16="http://schemas.microsoft.com/office/drawing/2014/main" pred="{68EC696A-0162-4D77-BE37-38181A81610A}"/>
            </a:ext>
          </a:extLst>
        </xdr:cNvPr>
        <xdr:cNvGrpSpPr/>
      </xdr:nvGrpSpPr>
      <xdr:grpSpPr>
        <a:xfrm>
          <a:off x="498475" y="8562975"/>
          <a:ext cx="1656841" cy="1630834"/>
          <a:chOff x="396875" y="8016875"/>
          <a:chExt cx="1717455" cy="1622134"/>
        </a:xfrm>
      </xdr:grpSpPr>
      <xdr:sp macro="" textlink="">
        <xdr:nvSpPr>
          <xdr:cNvPr id="15" name="TextBox 14">
            <a:hlinkClick xmlns:r="http://schemas.openxmlformats.org/officeDocument/2006/relationships" r:id="rId19"/>
            <a:extLst>
              <a:ext uri="{FF2B5EF4-FFF2-40B4-BE49-F238E27FC236}">
                <a16:creationId xmlns:a16="http://schemas.microsoft.com/office/drawing/2014/main" id="{929C35D1-DFBE-A6A1-0CB5-2B8BEAFD3164}"/>
              </a:ext>
            </a:extLst>
          </xdr:cNvPr>
          <xdr:cNvSpPr txBox="1"/>
        </xdr:nvSpPr>
        <xdr:spPr>
          <a:xfrm>
            <a:off x="396875" y="8966826"/>
            <a:ext cx="1717455" cy="67218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lt-LT" sz="1100">
                <a:solidFill>
                  <a:srgbClr val="808080"/>
                </a:solidFill>
              </a:rPr>
              <a:t>https://aaa.lrv.lt/lt/veiklos-sritys/teisekuros-poveikio-vertinimas/</a:t>
            </a:r>
          </a:p>
        </xdr:txBody>
      </xdr:sp>
      <xdr:pic>
        <xdr:nvPicPr>
          <xdr:cNvPr id="23" name="Paveikslėlis 22">
            <a:extLst>
              <a:ext uri="{FF2B5EF4-FFF2-40B4-BE49-F238E27FC236}">
                <a16:creationId xmlns:a16="http://schemas.microsoft.com/office/drawing/2014/main" id="{3E71D005-F96B-8A31-010B-2C460B631402}"/>
              </a:ext>
            </a:extLst>
          </xdr:cNvPr>
          <xdr:cNvPicPr>
            <a:picLocks noChangeAspect="1"/>
          </xdr:cNvPicPr>
        </xdr:nvPicPr>
        <xdr:blipFill rotWithShape="1">
          <a:blip xmlns:r="http://schemas.openxmlformats.org/officeDocument/2006/relationships" r:embed="rId20" cstate="print">
            <a:extLst>
              <a:ext uri="{28A0092B-C50C-407E-A947-70E740481C1C}">
                <a14:useLocalDpi xmlns:a14="http://schemas.microsoft.com/office/drawing/2010/main" val="0"/>
              </a:ext>
            </a:extLst>
          </a:blip>
          <a:srcRect r="16071" b="683"/>
          <a:stretch/>
        </xdr:blipFill>
        <xdr:spPr>
          <a:xfrm>
            <a:off x="718995" y="8016875"/>
            <a:ext cx="809624" cy="843080"/>
          </a:xfrm>
          <a:prstGeom prst="rect">
            <a:avLst/>
          </a:prstGeom>
        </xdr:spPr>
      </xdr:pic>
    </xdr:grpSp>
    <xdr:clientData/>
  </xdr:twoCellAnchor>
</xdr:wsDr>
</file>

<file path=xl/drawings/drawing5.xml><?xml version="1.0" encoding="utf-8"?>
<xdr:wsDr xmlns:xdr="http://schemas.openxmlformats.org/drawingml/2006/spreadsheetDrawing" xmlns:a="http://schemas.openxmlformats.org/drawingml/2006/main">
  <xdr:oneCellAnchor>
    <xdr:from>
      <xdr:col>0</xdr:col>
      <xdr:colOff>149678</xdr:colOff>
      <xdr:row>0</xdr:row>
      <xdr:rowOff>136072</xdr:rowOff>
    </xdr:from>
    <xdr:ext cx="1932215" cy="9688286"/>
    <xdr:pic>
      <xdr:nvPicPr>
        <xdr:cNvPr id="26" name="Picture 25">
          <a:extLst>
            <a:ext uri="{FF2B5EF4-FFF2-40B4-BE49-F238E27FC236}">
              <a16:creationId xmlns:a16="http://schemas.microsoft.com/office/drawing/2014/main" id="{8D1EB58F-EFB0-4B4E-945B-069162060E6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9678" y="136072"/>
          <a:ext cx="1932215" cy="9688286"/>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twoCellAnchor>
    <xdr:from>
      <xdr:col>0</xdr:col>
      <xdr:colOff>370795</xdr:colOff>
      <xdr:row>2</xdr:row>
      <xdr:rowOff>17006</xdr:rowOff>
    </xdr:from>
    <xdr:to>
      <xdr:col>2</xdr:col>
      <xdr:colOff>535013</xdr:colOff>
      <xdr:row>5</xdr:row>
      <xdr:rowOff>44197</xdr:rowOff>
    </xdr:to>
    <xdr:pic>
      <xdr:nvPicPr>
        <xdr:cNvPr id="27" name="Paveikslėlis 2">
          <a:extLst>
            <a:ext uri="{FF2B5EF4-FFF2-40B4-BE49-F238E27FC236}">
              <a16:creationId xmlns:a16="http://schemas.microsoft.com/office/drawing/2014/main" id="{D94362C1-7F2B-4631-9345-D36D370EDF13}"/>
            </a:ext>
            <a:ext uri="{147F2762-F138-4A5C-976F-8EAC2B608ADB}">
              <a16:predDERef xmlns:a16="http://schemas.microsoft.com/office/drawing/2014/main" pred="{46023FA3-9223-450D-88ED-40320E00CA58}"/>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370795" y="398006"/>
          <a:ext cx="1388861" cy="598691"/>
        </a:xfrm>
        <a:prstGeom prst="rect">
          <a:avLst/>
        </a:prstGeom>
      </xdr:spPr>
    </xdr:pic>
    <xdr:clientData/>
  </xdr:twoCellAnchor>
  <xdr:twoCellAnchor>
    <xdr:from>
      <xdr:col>0</xdr:col>
      <xdr:colOff>563788</xdr:colOff>
      <xdr:row>38</xdr:row>
      <xdr:rowOff>86557</xdr:rowOff>
    </xdr:from>
    <xdr:to>
      <xdr:col>3</xdr:col>
      <xdr:colOff>64609</xdr:colOff>
      <xdr:row>41</xdr:row>
      <xdr:rowOff>54074</xdr:rowOff>
    </xdr:to>
    <xdr:sp macro="" textlink="">
      <xdr:nvSpPr>
        <xdr:cNvPr id="29" name="TextBox 28">
          <a:extLst>
            <a:ext uri="{FF2B5EF4-FFF2-40B4-BE49-F238E27FC236}">
              <a16:creationId xmlns:a16="http://schemas.microsoft.com/office/drawing/2014/main" id="{E9B69222-8794-47B0-A624-EDA37CF72063}"/>
            </a:ext>
          </a:extLst>
        </xdr:cNvPr>
        <xdr:cNvSpPr txBox="1"/>
      </xdr:nvSpPr>
      <xdr:spPr>
        <a:xfrm>
          <a:off x="563788" y="7325557"/>
          <a:ext cx="1337785" cy="5390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lt-LT">
              <a:solidFill>
                <a:srgbClr val="808080"/>
              </a:solidFill>
            </a:rPr>
            <a:t>+370 682 92 653</a:t>
          </a:r>
          <a:endParaRPr lang="lt-LT" sz="1100">
            <a:solidFill>
              <a:srgbClr val="808080"/>
            </a:solidFill>
          </a:endParaRPr>
        </a:p>
      </xdr:txBody>
    </xdr:sp>
    <xdr:clientData/>
  </xdr:twoCellAnchor>
  <xdr:oneCellAnchor>
    <xdr:from>
      <xdr:col>1</xdr:col>
      <xdr:colOff>309562</xdr:colOff>
      <xdr:row>35</xdr:row>
      <xdr:rowOff>141170</xdr:rowOff>
    </xdr:from>
    <xdr:ext cx="354857" cy="428190"/>
    <xdr:pic>
      <xdr:nvPicPr>
        <xdr:cNvPr id="31" name="Grafinis elementas 27" descr="Receiver outline">
          <a:extLst>
            <a:ext uri="{FF2B5EF4-FFF2-40B4-BE49-F238E27FC236}">
              <a16:creationId xmlns:a16="http://schemas.microsoft.com/office/drawing/2014/main" id="{F7CB124F-DFA6-4BB7-A7B3-3DE8427F3BF9}"/>
            </a:ext>
          </a:extLst>
        </xdr:cNvPr>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 uri="{96DAC541-7B7A-43D3-8B79-37D633B846F1}">
              <asvg:svgBlip xmlns:asvg="http://schemas.microsoft.com/office/drawing/2016/SVG/main" r:embed="rId4"/>
            </a:ext>
          </a:extLst>
        </a:blip>
        <a:stretch>
          <a:fillRect/>
        </a:stretch>
      </xdr:blipFill>
      <xdr:spPr>
        <a:xfrm>
          <a:off x="921883" y="6808670"/>
          <a:ext cx="354857" cy="428190"/>
        </a:xfrm>
        <a:prstGeom prst="rect">
          <a:avLst/>
        </a:prstGeom>
      </xdr:spPr>
    </xdr:pic>
    <xdr:clientData/>
  </xdr:oneCellAnchor>
  <xdr:oneCellAnchor>
    <xdr:from>
      <xdr:col>1</xdr:col>
      <xdr:colOff>217713</xdr:colOff>
      <xdr:row>28</xdr:row>
      <xdr:rowOff>188796</xdr:rowOff>
    </xdr:from>
    <xdr:ext cx="502249" cy="497198"/>
    <xdr:pic>
      <xdr:nvPicPr>
        <xdr:cNvPr id="32" name="Grafinis elementas 16" descr="Envelope outline">
          <a:extLst>
            <a:ext uri="{FF2B5EF4-FFF2-40B4-BE49-F238E27FC236}">
              <a16:creationId xmlns:a16="http://schemas.microsoft.com/office/drawing/2014/main" id="{49535613-B895-46E2-BC46-F8BA8FFD5D11}"/>
            </a:ext>
          </a:extLst>
        </xdr:cNvPr>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 uri="{96DAC541-7B7A-43D3-8B79-37D633B846F1}">
              <asvg:svgBlip xmlns:asvg="http://schemas.microsoft.com/office/drawing/2016/SVG/main" r:embed="rId6"/>
            </a:ext>
          </a:extLst>
        </a:blip>
        <a:stretch>
          <a:fillRect/>
        </a:stretch>
      </xdr:blipFill>
      <xdr:spPr>
        <a:xfrm>
          <a:off x="830034" y="5522796"/>
          <a:ext cx="502249" cy="497198"/>
        </a:xfrm>
        <a:prstGeom prst="rect">
          <a:avLst/>
        </a:prstGeom>
      </xdr:spPr>
    </xdr:pic>
    <xdr:clientData/>
  </xdr:oneCellAnchor>
  <xdr:twoCellAnchor>
    <xdr:from>
      <xdr:col>0</xdr:col>
      <xdr:colOff>357754</xdr:colOff>
      <xdr:row>8</xdr:row>
      <xdr:rowOff>45923</xdr:rowOff>
    </xdr:from>
    <xdr:to>
      <xdr:col>3</xdr:col>
      <xdr:colOff>34</xdr:colOff>
      <xdr:row>12</xdr:row>
      <xdr:rowOff>0</xdr:rowOff>
    </xdr:to>
    <xdr:pic>
      <xdr:nvPicPr>
        <xdr:cNvPr id="33" name="Picture 69">
          <a:hlinkClick xmlns:r="http://schemas.openxmlformats.org/officeDocument/2006/relationships" r:id="rId7"/>
          <a:extLst>
            <a:ext uri="{FF2B5EF4-FFF2-40B4-BE49-F238E27FC236}">
              <a16:creationId xmlns:a16="http://schemas.microsoft.com/office/drawing/2014/main" id="{A49F689C-AAE9-4793-ABAA-D11B602D665D}"/>
            </a:ext>
          </a:extLst>
        </xdr:cNvPr>
        <xdr:cNvPicPr>
          <a:picLocks noChangeAspect="1"/>
        </xdr:cNvPicPr>
      </xdr:nvPicPr>
      <xdr:blipFill>
        <a:blip xmlns:r="http://schemas.openxmlformats.org/officeDocument/2006/relationships" r:embed="rId8">
          <a:duotone>
            <a:schemeClr val="accent4">
              <a:shade val="45000"/>
              <a:satMod val="135000"/>
            </a:schemeClr>
            <a:prstClr val="white"/>
          </a:duotone>
        </a:blip>
        <a:stretch>
          <a:fillRect/>
        </a:stretch>
      </xdr:blipFill>
      <xdr:spPr>
        <a:xfrm>
          <a:off x="357754" y="1569923"/>
          <a:ext cx="1479244" cy="716077"/>
        </a:xfrm>
        <a:prstGeom prst="rect">
          <a:avLst/>
        </a:prstGeom>
      </xdr:spPr>
    </xdr:pic>
    <xdr:clientData/>
  </xdr:twoCellAnchor>
  <xdr:twoCellAnchor>
    <xdr:from>
      <xdr:col>0</xdr:col>
      <xdr:colOff>598715</xdr:colOff>
      <xdr:row>31</xdr:row>
      <xdr:rowOff>176891</xdr:rowOff>
    </xdr:from>
    <xdr:to>
      <xdr:col>3</xdr:col>
      <xdr:colOff>94432</xdr:colOff>
      <xdr:row>33</xdr:row>
      <xdr:rowOff>73279</xdr:rowOff>
    </xdr:to>
    <xdr:sp macro="" textlink="">
      <xdr:nvSpPr>
        <xdr:cNvPr id="37" name="TextBox 36">
          <a:extLst>
            <a:ext uri="{FF2B5EF4-FFF2-40B4-BE49-F238E27FC236}">
              <a16:creationId xmlns:a16="http://schemas.microsoft.com/office/drawing/2014/main" id="{BD601478-65A0-47EE-8124-45F77AE1CD06}"/>
            </a:ext>
          </a:extLst>
        </xdr:cNvPr>
        <xdr:cNvSpPr txBox="1"/>
      </xdr:nvSpPr>
      <xdr:spPr>
        <a:xfrm>
          <a:off x="598715" y="6082391"/>
          <a:ext cx="1332681" cy="27738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lt-LT" sz="1100">
              <a:solidFill>
                <a:srgbClr val="808080"/>
              </a:solidFill>
            </a:rPr>
            <a:t>aaa</a:t>
          </a:r>
          <a:r>
            <a:rPr lang="en-US" sz="1100">
              <a:solidFill>
                <a:srgbClr val="808080"/>
              </a:solidFill>
            </a:rPr>
            <a:t>@gamta.lt</a:t>
          </a:r>
          <a:endParaRPr lang="lt-LT" sz="1100">
            <a:solidFill>
              <a:srgbClr val="808080"/>
            </a:solidFill>
          </a:endParaRPr>
        </a:p>
      </xdr:txBody>
    </xdr:sp>
    <xdr:clientData/>
  </xdr:twoCellAnchor>
  <xdr:twoCellAnchor>
    <xdr:from>
      <xdr:col>0</xdr:col>
      <xdr:colOff>367393</xdr:colOff>
      <xdr:row>18</xdr:row>
      <xdr:rowOff>95250</xdr:rowOff>
    </xdr:from>
    <xdr:to>
      <xdr:col>3</xdr:col>
      <xdr:colOff>12245</xdr:colOff>
      <xdr:row>22</xdr:row>
      <xdr:rowOff>68036</xdr:rowOff>
    </xdr:to>
    <xdr:pic>
      <xdr:nvPicPr>
        <xdr:cNvPr id="41" name="Picture 40">
          <a:hlinkClick xmlns:r="http://schemas.openxmlformats.org/officeDocument/2006/relationships" r:id="rId9"/>
          <a:extLst>
            <a:ext uri="{FF2B5EF4-FFF2-40B4-BE49-F238E27FC236}">
              <a16:creationId xmlns:a16="http://schemas.microsoft.com/office/drawing/2014/main" id="{760BCDD7-F59D-4A1A-AD36-0A9F7A345354}"/>
            </a:ext>
          </a:extLst>
        </xdr:cNvPr>
        <xdr:cNvPicPr>
          <a:picLocks noChangeAspect="1"/>
        </xdr:cNvPicPr>
      </xdr:nvPicPr>
      <xdr:blipFill>
        <a:blip xmlns:r="http://schemas.openxmlformats.org/officeDocument/2006/relationships" r:embed="rId10">
          <a:duotone>
            <a:schemeClr val="accent4">
              <a:shade val="45000"/>
              <a:satMod val="135000"/>
            </a:schemeClr>
            <a:prstClr val="white"/>
          </a:duotone>
        </a:blip>
        <a:stretch>
          <a:fillRect/>
        </a:stretch>
      </xdr:blipFill>
      <xdr:spPr>
        <a:xfrm>
          <a:off x="367393" y="3524250"/>
          <a:ext cx="1481816" cy="734786"/>
        </a:xfrm>
        <a:prstGeom prst="rect">
          <a:avLst/>
        </a:prstGeom>
      </xdr:spPr>
    </xdr:pic>
    <xdr:clientData/>
  </xdr:twoCellAnchor>
  <xdr:twoCellAnchor editAs="oneCell">
    <xdr:from>
      <xdr:col>0</xdr:col>
      <xdr:colOff>353787</xdr:colOff>
      <xdr:row>13</xdr:row>
      <xdr:rowOff>68035</xdr:rowOff>
    </xdr:from>
    <xdr:to>
      <xdr:col>3</xdr:col>
      <xdr:colOff>1</xdr:colOff>
      <xdr:row>17</xdr:row>
      <xdr:rowOff>37618</xdr:rowOff>
    </xdr:to>
    <xdr:pic>
      <xdr:nvPicPr>
        <xdr:cNvPr id="3" name="Picture 2">
          <a:hlinkClick xmlns:r="http://schemas.openxmlformats.org/officeDocument/2006/relationships" r:id="rId11"/>
          <a:extLst>
            <a:ext uri="{FF2B5EF4-FFF2-40B4-BE49-F238E27FC236}">
              <a16:creationId xmlns:a16="http://schemas.microsoft.com/office/drawing/2014/main" id="{DFDA2BE9-5406-8963-835C-4081F6B0EB51}"/>
            </a:ext>
          </a:extLst>
        </xdr:cNvPr>
        <xdr:cNvPicPr>
          <a:picLocks noChangeAspect="1"/>
        </xdr:cNvPicPr>
      </xdr:nvPicPr>
      <xdr:blipFill>
        <a:blip xmlns:r="http://schemas.openxmlformats.org/officeDocument/2006/relationships" r:embed="rId12">
          <a:duotone>
            <a:schemeClr val="accent4">
              <a:shade val="45000"/>
              <a:satMod val="135000"/>
            </a:schemeClr>
            <a:prstClr val="white"/>
          </a:duotone>
        </a:blip>
        <a:stretch>
          <a:fillRect/>
        </a:stretch>
      </xdr:blipFill>
      <xdr:spPr>
        <a:xfrm>
          <a:off x="353787" y="2544535"/>
          <a:ext cx="1483178" cy="731583"/>
        </a:xfrm>
        <a:prstGeom prst="rect">
          <a:avLst/>
        </a:prstGeom>
      </xdr:spPr>
    </xdr:pic>
    <xdr:clientData/>
  </xdr:twoCellAnchor>
  <xdr:twoCellAnchor editAs="oneCell">
    <xdr:from>
      <xdr:col>0</xdr:col>
      <xdr:colOff>367393</xdr:colOff>
      <xdr:row>23</xdr:row>
      <xdr:rowOff>122465</xdr:rowOff>
    </xdr:from>
    <xdr:to>
      <xdr:col>3</xdr:col>
      <xdr:colOff>24078</xdr:colOff>
      <xdr:row>27</xdr:row>
      <xdr:rowOff>122531</xdr:rowOff>
    </xdr:to>
    <xdr:pic>
      <xdr:nvPicPr>
        <xdr:cNvPr id="20" name="Picture 19">
          <a:extLst>
            <a:ext uri="{FF2B5EF4-FFF2-40B4-BE49-F238E27FC236}">
              <a16:creationId xmlns:a16="http://schemas.microsoft.com/office/drawing/2014/main" id="{CC43DC68-6C37-DDF3-94C0-9049D74FE4A7}"/>
            </a:ext>
          </a:extLst>
        </xdr:cNvPr>
        <xdr:cNvPicPr>
          <a:picLocks noChangeAspect="1"/>
        </xdr:cNvPicPr>
      </xdr:nvPicPr>
      <xdr:blipFill>
        <a:blip xmlns:r="http://schemas.openxmlformats.org/officeDocument/2006/relationships" r:embed="rId13">
          <a:extLst>
            <a:ext uri="{BEBA8EAE-BF5A-486C-A8C5-ECC9F3942E4B}">
              <a14:imgProps xmlns:a14="http://schemas.microsoft.com/office/drawing/2010/main">
                <a14:imgLayer r:embed="rId14">
                  <a14:imgEffect>
                    <a14:colorTemperature colorTemp="5900"/>
                  </a14:imgEffect>
                  <a14:imgEffect>
                    <a14:saturation sat="66000"/>
                  </a14:imgEffect>
                </a14:imgLayer>
              </a14:imgProps>
            </a:ext>
          </a:extLst>
        </a:blip>
        <a:stretch>
          <a:fillRect/>
        </a:stretch>
      </xdr:blipFill>
      <xdr:spPr>
        <a:xfrm>
          <a:off x="367393" y="4503965"/>
          <a:ext cx="1493649" cy="762066"/>
        </a:xfrm>
        <a:prstGeom prst="rect">
          <a:avLst/>
        </a:prstGeom>
      </xdr:spPr>
    </xdr:pic>
    <xdr:clientData/>
  </xdr:twoCellAnchor>
  <xdr:twoCellAnchor>
    <xdr:from>
      <xdr:col>5</xdr:col>
      <xdr:colOff>9071</xdr:colOff>
      <xdr:row>1</xdr:row>
      <xdr:rowOff>90714</xdr:rowOff>
    </xdr:from>
    <xdr:to>
      <xdr:col>9</xdr:col>
      <xdr:colOff>9605</xdr:colOff>
      <xdr:row>3</xdr:row>
      <xdr:rowOff>83799</xdr:rowOff>
    </xdr:to>
    <xdr:sp macro="" textlink="">
      <xdr:nvSpPr>
        <xdr:cNvPr id="2" name="TextBox 1">
          <a:extLst>
            <a:ext uri="{FF2B5EF4-FFF2-40B4-BE49-F238E27FC236}">
              <a16:creationId xmlns:a16="http://schemas.microsoft.com/office/drawing/2014/main" id="{621CB058-1ADD-4D8F-B789-71BF52BAEA16}"/>
            </a:ext>
          </a:extLst>
        </xdr:cNvPr>
        <xdr:cNvSpPr txBox="1"/>
      </xdr:nvSpPr>
      <xdr:spPr>
        <a:xfrm>
          <a:off x="2766785" y="272143"/>
          <a:ext cx="7448177" cy="355942"/>
        </a:xfrm>
        <a:prstGeom prst="rect">
          <a:avLst/>
        </a:prstGeom>
        <a:solidFill>
          <a:schemeClr val="accent5">
            <a:lumMod val="40000"/>
            <a:lumOff val="60000"/>
          </a:schemeClr>
        </a:solidFill>
        <a:ln w="9525" cmpd="sng">
          <a:solidFill>
            <a:schemeClr val="bg1">
              <a:lumMod val="20000"/>
              <a:lumOff val="80000"/>
            </a:schemeClr>
          </a:solidFill>
        </a:ln>
        <a:effectLst/>
      </xdr:spPr>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lt-LT" sz="1100" b="1" i="0" u="none" strike="noStrike" kern="0" cap="none" spc="0" normalizeH="0" baseline="0" noProof="0">
              <a:ln>
                <a:noFill/>
              </a:ln>
              <a:solidFill>
                <a:srgbClr val="F4FAF6">
                  <a:lumMod val="25000"/>
                </a:srgbClr>
              </a:solidFill>
              <a:effectLst/>
              <a:uLnTx/>
              <a:uFillTx/>
              <a:latin typeface="+mn-lt"/>
              <a:ea typeface="+mn-ea"/>
              <a:cs typeface="+mn-cs"/>
            </a:rPr>
            <a:t>SKAIČIUOKLĖS ATNAUJINIMO ISTORIJA</a:t>
          </a:r>
        </a:p>
      </xdr:txBody>
    </xdr:sp>
    <xdr:clientData/>
  </xdr:twoCellAnchor>
  <xdr:twoCellAnchor>
    <xdr:from>
      <xdr:col>0</xdr:col>
      <xdr:colOff>380999</xdr:colOff>
      <xdr:row>42</xdr:row>
      <xdr:rowOff>99786</xdr:rowOff>
    </xdr:from>
    <xdr:to>
      <xdr:col>3</xdr:col>
      <xdr:colOff>166240</xdr:colOff>
      <xdr:row>51</xdr:row>
      <xdr:rowOff>89062</xdr:rowOff>
    </xdr:to>
    <xdr:grpSp>
      <xdr:nvGrpSpPr>
        <xdr:cNvPr id="12" name="Grupė 11">
          <a:extLst>
            <a:ext uri="{FF2B5EF4-FFF2-40B4-BE49-F238E27FC236}">
              <a16:creationId xmlns:a16="http://schemas.microsoft.com/office/drawing/2014/main" id="{B180E88D-3E82-42DA-BD8B-4152DD8DC16F}"/>
            </a:ext>
          </a:extLst>
        </xdr:cNvPr>
        <xdr:cNvGrpSpPr/>
      </xdr:nvGrpSpPr>
      <xdr:grpSpPr>
        <a:xfrm>
          <a:off x="380999" y="8100786"/>
          <a:ext cx="1622205" cy="1703776"/>
          <a:chOff x="396875" y="8016875"/>
          <a:chExt cx="1717455" cy="1622134"/>
        </a:xfrm>
      </xdr:grpSpPr>
      <xdr:sp macro="" textlink="">
        <xdr:nvSpPr>
          <xdr:cNvPr id="13" name="TextBox 12">
            <a:hlinkClick xmlns:r="http://schemas.openxmlformats.org/officeDocument/2006/relationships" r:id="rId15"/>
            <a:extLst>
              <a:ext uri="{FF2B5EF4-FFF2-40B4-BE49-F238E27FC236}">
                <a16:creationId xmlns:a16="http://schemas.microsoft.com/office/drawing/2014/main" id="{40629C7D-0A52-90C4-455D-9BE796DE16A6}"/>
              </a:ext>
            </a:extLst>
          </xdr:cNvPr>
          <xdr:cNvSpPr txBox="1"/>
        </xdr:nvSpPr>
        <xdr:spPr>
          <a:xfrm>
            <a:off x="396875" y="8966826"/>
            <a:ext cx="1717455" cy="67218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lt-LT" sz="1100">
                <a:solidFill>
                  <a:srgbClr val="808080"/>
                </a:solidFill>
              </a:rPr>
              <a:t>https://aaa.lrv.lt/lt/veiklos-sritys/teisekuros-poveikio-vertinimas/</a:t>
            </a:r>
          </a:p>
        </xdr:txBody>
      </xdr:sp>
      <xdr:pic>
        <xdr:nvPicPr>
          <xdr:cNvPr id="14" name="Paveikslėlis 13">
            <a:extLst>
              <a:ext uri="{FF2B5EF4-FFF2-40B4-BE49-F238E27FC236}">
                <a16:creationId xmlns:a16="http://schemas.microsoft.com/office/drawing/2014/main" id="{0CE85FF4-0B77-E348-67B8-0512095AD27A}"/>
              </a:ext>
            </a:extLst>
          </xdr:cNvPr>
          <xdr:cNvPicPr>
            <a:picLocks noChangeAspect="1"/>
          </xdr:cNvPicPr>
        </xdr:nvPicPr>
        <xdr:blipFill rotWithShape="1">
          <a:blip xmlns:r="http://schemas.openxmlformats.org/officeDocument/2006/relationships" r:embed="rId16" cstate="print">
            <a:extLst>
              <a:ext uri="{28A0092B-C50C-407E-A947-70E740481C1C}">
                <a14:useLocalDpi xmlns:a14="http://schemas.microsoft.com/office/drawing/2010/main" val="0"/>
              </a:ext>
            </a:extLst>
          </a:blip>
          <a:srcRect r="16071" b="683"/>
          <a:stretch/>
        </xdr:blipFill>
        <xdr:spPr>
          <a:xfrm>
            <a:off x="718995" y="8016875"/>
            <a:ext cx="809624" cy="843080"/>
          </a:xfrm>
          <a:prstGeom prst="rect">
            <a:avLst/>
          </a:prstGeom>
        </xdr:spPr>
      </xdr:pic>
    </xdr:grpSp>
    <xdr:clientData/>
  </xdr:twoCellAnchor>
</xdr:wsDr>
</file>

<file path=xl/persons/person.xml><?xml version="1.0" encoding="utf-8"?>
<personList xmlns="http://schemas.microsoft.com/office/spreadsheetml/2018/threadedcomments" xmlns:x="http://schemas.openxmlformats.org/spreadsheetml/2006/main">
  <person displayName="Agnė Skeirytė" id="{D8CC2966-AF1B-4AED-BDA0-9B44393E2F8D}" userId="S::agne.skeiryte@gamta.lt::b57617ae-5765-4514-bd55-17648b5df142" providerId="AD"/>
</personList>
</file>

<file path=xl/theme/theme1.xml><?xml version="1.0" encoding="utf-8"?>
<a:theme xmlns:a="http://schemas.openxmlformats.org/drawingml/2006/main" name="aaa tema">
  <a:themeElements>
    <a:clrScheme name="AAA">
      <a:dk1>
        <a:srgbClr val="8FCEA5"/>
      </a:dk1>
      <a:lt1>
        <a:srgbClr val="44C8F5"/>
      </a:lt1>
      <a:dk2>
        <a:srgbClr val="A5D8B7"/>
      </a:dk2>
      <a:lt2>
        <a:srgbClr val="BCE2C9"/>
      </a:lt2>
      <a:accent1>
        <a:srgbClr val="D2EBDB"/>
      </a:accent1>
      <a:accent2>
        <a:srgbClr val="E9F5ED"/>
      </a:accent2>
      <a:accent3>
        <a:srgbClr val="F4FAF6"/>
      </a:accent3>
      <a:accent4>
        <a:srgbClr val="6DCFF6"/>
      </a:accent4>
      <a:accent5>
        <a:srgbClr val="94D9F8"/>
      </a:accent5>
      <a:accent6>
        <a:srgbClr val="B6E4FA"/>
      </a:accent6>
      <a:hlink>
        <a:srgbClr val="DAF4FD"/>
      </a:hlink>
      <a:folHlink>
        <a:srgbClr val="EFF9FE"/>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readedComments/threadedComment1.xml><?xml version="1.0" encoding="utf-8"?>
<ThreadedComments xmlns="http://schemas.microsoft.com/office/spreadsheetml/2018/threadedcomments" xmlns:x="http://schemas.openxmlformats.org/spreadsheetml/2006/main">
  <threadedComment ref="N46" dT="2023-11-24T07:21:53.43" personId="{D8CC2966-AF1B-4AED-BDA0-9B44393E2F8D}" id="{AB515D83-BDDC-4FE1-ABDC-B3C6E311AC35}">
    <text>Skirtumas paverčiamas į kg,
padauginama iš vidutinės ridos per metus,
paverčiama į kt,
padauginama iš metų kiekio/laikotarpio</text>
  </threadedComment>
</ThreadedComments>
</file>

<file path=xl/threadedComments/threadedComment2.xml><?xml version="1.0" encoding="utf-8"?>
<ThreadedComments xmlns="http://schemas.microsoft.com/office/spreadsheetml/2018/threadedcomments" xmlns:x="http://schemas.openxmlformats.org/spreadsheetml/2006/main">
  <threadedComment ref="N106" dT="2023-11-24T07:21:53.43" personId="{D8CC2966-AF1B-4AED-BDA0-9B44393E2F8D}" id="{313D4BF0-C712-444D-9277-421AA03E1C1F}">
    <text>Skirtumas paverčiamas į kg,
padauginama iš vidutinės ridos per metus,
paverčiama į kt,
padauginama iš metų kiekio/laikotarpio</text>
  </threadedComment>
  <threadedComment ref="AD106" dT="2023-11-24T07:21:53.43" personId="{D8CC2966-AF1B-4AED-BDA0-9B44393E2F8D}" id="{434C77B4-801C-489F-BBD8-54A166909A4C}">
    <text>Skirtumas paverčiamas į kg,
padauginama iš vidutinės ridos per metus,
paverčiama į kt,
padauginama iš metų kiekio/laikotarpio</text>
  </threadedComment>
  <threadedComment ref="AR106" dT="2023-11-24T07:21:53.43" personId="{D8CC2966-AF1B-4AED-BDA0-9B44393E2F8D}" id="{AF1E10E0-81DB-4A0F-BB2A-3373D18F7A44}">
    <text>Skirtumas paverčiamas į kg,
padauginama iš vidutinės ridos per metus,
paverčiama į kt,
padauginama iš metų kiekio/laikotarpio</text>
  </threadedComment>
  <threadedComment ref="BF106" dT="2023-11-24T07:21:53.43" personId="{D8CC2966-AF1B-4AED-BDA0-9B44393E2F8D}" id="{C3AFC49C-2B73-476E-9D6F-B2AFF27E9E20}">
    <text>Skirtumas paverčiamas į kg,
padauginama iš vidutinės ridos per metus,
paverčiama į kt,
padauginama iš metų kiekio/laikotarpio</text>
  </threadedComment>
  <threadedComment ref="N114" dT="2023-11-24T07:21:53.43" personId="{D8CC2966-AF1B-4AED-BDA0-9B44393E2F8D}" id="{0DC177F9-5BD4-4086-AB13-1F4D76B0076A}">
    <text>Skirtumas paverčiamas į kg,
padauginama iš vidutinės ridos per metus,
paverčiama į kt,
padauginama iš metų kiekio/laikotarpio</text>
  </threadedComment>
  <threadedComment ref="AD114" dT="2023-11-24T07:21:53.43" personId="{D8CC2966-AF1B-4AED-BDA0-9B44393E2F8D}" id="{F5360A0D-65E8-4598-9938-0973197E3F64}">
    <text>Skirtumas paverčiamas į kg,
padauginama iš vidutinės ridos per metus,
paverčiama į kt,
padauginama iš metų kiekio/laikotarpio</text>
  </threadedComment>
  <threadedComment ref="AR114" dT="2023-11-24T07:21:53.43" personId="{D8CC2966-AF1B-4AED-BDA0-9B44393E2F8D}" id="{DBBD744C-F66D-498B-BC4D-32AEF17E78E5}">
    <text>Skirtumas paverčiamas į kg,
padauginama iš vidutinės ridos per metus,
paverčiama į kt,
padauginama iš metų kiekio/laikotarpio</text>
  </threadedComment>
  <threadedComment ref="BF114" dT="2023-11-24T07:21:53.43" personId="{D8CC2966-AF1B-4AED-BDA0-9B44393E2F8D}" id="{B2B5A95E-D87F-4710-A64F-E2B72F0D54EC}">
    <text>Skirtumas paverčiamas į kg,
padauginama iš vidutinės ridos per metus,
paverčiama į kt,
padauginama iš metų kiekio/laikotarpio</text>
  </threadedComment>
  <threadedComment ref="N115" dT="2023-11-24T07:21:53.43" personId="{D8CC2966-AF1B-4AED-BDA0-9B44393E2F8D}" id="{FC48F25B-DEAE-4402-ACA3-26881C56B511}">
    <text>Skirtumas paverčiamas į kg,
padauginama iš vidutinės ridos per metus,
paverčiama į kt,
padauginama iš metų kiekio/laikotarpio</text>
  </threadedComment>
  <threadedComment ref="AD115" dT="2023-11-24T07:21:53.43" personId="{D8CC2966-AF1B-4AED-BDA0-9B44393E2F8D}" id="{E073EBA0-C936-427E-A61B-D42CDCF1BF6A}">
    <text>Skirtumas paverčiamas į kg,
padauginama iš vidutinės ridos per metus,
paverčiama į kt,
padauginama iš metų kiekio/laikotarpio</text>
  </threadedComment>
  <threadedComment ref="AR115" dT="2023-11-24T07:21:53.43" personId="{D8CC2966-AF1B-4AED-BDA0-9B44393E2F8D}" id="{5AB021E0-87B6-4519-A651-DE92A5A0DB42}">
    <text>Skirtumas paverčiamas į kg,
padauginama iš vidutinės ridos per metus,
paverčiama į kt,
padauginama iš metų kiekio/laikotarpio</text>
  </threadedComment>
  <threadedComment ref="BF115" dT="2023-11-24T07:21:53.43" personId="{D8CC2966-AF1B-4AED-BDA0-9B44393E2F8D}" id="{7C83AE7B-5E79-4EBB-B99F-13E623402F92}">
    <text>Skirtumas paverčiamas į kg,
padauginama iš vidutinės ridos per metus,
paverčiama į kt,
padauginama iš metų kiekio/laikotarpio</text>
  </threadedComment>
</ThreadedComments>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drawing" Target="../drawings/drawing2.xml"/><Relationship Id="rId4" Type="http://schemas.microsoft.com/office/2017/10/relationships/threadedComment" Target="../threadedComments/threadedComment1.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4.xml"/><Relationship Id="rId1" Type="http://schemas.openxmlformats.org/officeDocument/2006/relationships/printerSettings" Target="../printerSettings/printerSettings1.bin"/><Relationship Id="rId5" Type="http://schemas.microsoft.com/office/2017/10/relationships/threadedComment" Target="../threadedComments/threadedComment2.xml"/><Relationship Id="rId4" Type="http://schemas.openxmlformats.org/officeDocument/2006/relationships/comments" Target="../comments2.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2C0EF0A-3C3A-43E2-B95F-4D71B58C0E1C}">
  <dimension ref="B1:Y42"/>
  <sheetViews>
    <sheetView topLeftCell="A17" zoomScale="70" zoomScaleNormal="70" workbookViewId="0">
      <selection activeCell="P70" sqref="P70"/>
    </sheetView>
  </sheetViews>
  <sheetFormatPr defaultColWidth="9.140625" defaultRowHeight="15"/>
  <cols>
    <col min="1" max="5" width="9.140625" style="1"/>
    <col min="6" max="6" width="7.85546875" style="1" customWidth="1"/>
    <col min="7" max="15" width="8.7109375" style="1" bestFit="1" customWidth="1"/>
    <col min="16" max="16" width="20.42578125" style="1" customWidth="1"/>
    <col min="17" max="16384" width="9.140625" style="1"/>
  </cols>
  <sheetData>
    <row r="1" spans="2:22" ht="15" customHeight="1">
      <c r="R1" s="250"/>
      <c r="S1" s="251"/>
      <c r="T1" s="251"/>
      <c r="U1" s="251"/>
      <c r="V1" s="251"/>
    </row>
    <row r="2" spans="2:22" ht="15" customHeight="1">
      <c r="R2" s="251"/>
      <c r="S2" s="251"/>
      <c r="T2" s="251"/>
      <c r="U2" s="251"/>
      <c r="V2" s="251"/>
    </row>
    <row r="3" spans="2:22" ht="18.75" customHeight="1">
      <c r="E3" s="65"/>
      <c r="F3" s="66"/>
      <c r="G3" s="66"/>
      <c r="H3" s="66"/>
      <c r="I3" s="66"/>
      <c r="J3" s="66"/>
      <c r="K3" s="66"/>
      <c r="L3" s="66"/>
      <c r="M3" s="66"/>
      <c r="N3" s="66"/>
      <c r="O3" s="66"/>
      <c r="P3" s="66"/>
      <c r="R3" s="251"/>
      <c r="S3" s="251"/>
      <c r="T3" s="251"/>
      <c r="U3" s="251"/>
      <c r="V3" s="251"/>
    </row>
    <row r="4" spans="2:22" ht="15" customHeight="1">
      <c r="R4" s="251"/>
      <c r="S4" s="251"/>
      <c r="T4" s="251"/>
      <c r="U4" s="251"/>
      <c r="V4" s="251"/>
    </row>
    <row r="5" spans="2:22" ht="15" customHeight="1">
      <c r="R5" s="251"/>
      <c r="S5" s="251"/>
      <c r="T5" s="251"/>
      <c r="U5" s="251"/>
      <c r="V5" s="251"/>
    </row>
    <row r="9" spans="2:22" ht="18.75">
      <c r="B9" s="67"/>
      <c r="C9" s="67"/>
      <c r="D9" s="68"/>
      <c r="E9" s="69"/>
      <c r="I9" s="70"/>
      <c r="K9" s="71"/>
    </row>
    <row r="15" spans="2:22" ht="18.75">
      <c r="J15" s="72"/>
      <c r="N15" s="71"/>
    </row>
    <row r="16" spans="2:22" ht="18.75">
      <c r="H16" s="72"/>
    </row>
    <row r="18" spans="2:25" ht="15.75">
      <c r="B18" s="67"/>
      <c r="C18" s="67"/>
      <c r="D18" s="67"/>
    </row>
    <row r="21" spans="2:25" ht="18.75">
      <c r="E21" s="71"/>
    </row>
    <row r="25" spans="2:25" ht="18.75">
      <c r="G25" s="72"/>
    </row>
    <row r="27" spans="2:25" ht="18.75">
      <c r="C27" s="73"/>
      <c r="H27" s="71"/>
    </row>
    <row r="29" spans="2:25">
      <c r="E29" s="74"/>
      <c r="F29" s="74"/>
      <c r="G29" s="74"/>
      <c r="H29" s="74"/>
      <c r="I29" s="74"/>
      <c r="J29" s="74"/>
      <c r="K29" s="74"/>
      <c r="L29" s="74"/>
      <c r="M29" s="74"/>
      <c r="N29" s="74"/>
      <c r="O29" s="74"/>
      <c r="P29" s="74"/>
      <c r="Q29" s="75"/>
      <c r="R29" s="76"/>
      <c r="S29" s="74"/>
      <c r="T29" s="74"/>
      <c r="U29" s="74"/>
      <c r="V29" s="77"/>
      <c r="W29" s="78"/>
      <c r="X29" s="77"/>
      <c r="Y29" s="78"/>
    </row>
    <row r="30" spans="2:25">
      <c r="E30" s="74"/>
      <c r="F30" s="74"/>
      <c r="G30" s="74"/>
      <c r="H30" s="74"/>
      <c r="I30" s="74"/>
      <c r="J30" s="74"/>
      <c r="K30" s="74"/>
      <c r="L30" s="74"/>
      <c r="M30" s="74"/>
      <c r="N30" s="74"/>
      <c r="O30" s="74"/>
      <c r="P30" s="74"/>
      <c r="Q30" s="75"/>
      <c r="R30" s="76"/>
      <c r="S30" s="74"/>
      <c r="T30" s="74"/>
      <c r="U30" s="74"/>
      <c r="V30" s="79"/>
      <c r="W30" s="79"/>
      <c r="X30" s="80"/>
      <c r="Y30" s="80"/>
    </row>
    <row r="31" spans="2:25">
      <c r="E31" s="74"/>
      <c r="F31" s="74"/>
      <c r="G31" s="74"/>
      <c r="H31" s="74"/>
      <c r="I31" s="74"/>
      <c r="J31" s="74"/>
      <c r="K31" s="74"/>
      <c r="L31" s="74"/>
      <c r="M31" s="74"/>
      <c r="N31" s="74"/>
      <c r="O31" s="74"/>
      <c r="P31" s="74"/>
      <c r="Q31" s="81"/>
      <c r="R31" s="81"/>
      <c r="S31" s="74"/>
      <c r="T31" s="74"/>
      <c r="U31" s="74"/>
      <c r="V31" s="79"/>
      <c r="W31" s="79"/>
      <c r="X31" s="80"/>
      <c r="Y31" s="80"/>
    </row>
    <row r="32" spans="2:25">
      <c r="E32" s="74"/>
      <c r="F32" s="74"/>
      <c r="G32" s="74"/>
      <c r="H32" s="74"/>
      <c r="I32" s="74"/>
      <c r="J32" s="74"/>
      <c r="K32" s="74"/>
      <c r="L32" s="74"/>
      <c r="M32" s="74"/>
      <c r="N32" s="74"/>
      <c r="O32" s="74"/>
      <c r="P32" s="74"/>
      <c r="Q32" s="81"/>
      <c r="R32" s="81"/>
      <c r="S32" s="74"/>
      <c r="T32" s="74"/>
      <c r="U32" s="74"/>
      <c r="V32" s="79"/>
      <c r="W32" s="79"/>
      <c r="X32" s="80"/>
      <c r="Y32" s="80"/>
    </row>
    <row r="33" spans="2:25">
      <c r="E33" s="74"/>
      <c r="F33" s="74"/>
      <c r="G33" s="74"/>
      <c r="H33" s="74"/>
      <c r="I33" s="74"/>
      <c r="J33" s="74"/>
      <c r="K33" s="74"/>
      <c r="L33" s="74"/>
      <c r="M33" s="74"/>
      <c r="N33" s="74"/>
      <c r="O33" s="74"/>
      <c r="P33" s="74"/>
      <c r="Q33" s="74"/>
      <c r="R33" s="74"/>
      <c r="S33" s="74"/>
      <c r="T33" s="74"/>
      <c r="U33" s="81"/>
      <c r="V33" s="80"/>
      <c r="W33" s="80"/>
      <c r="X33" s="80"/>
      <c r="Y33" s="80"/>
    </row>
    <row r="34" spans="2:25">
      <c r="E34" s="74"/>
      <c r="F34" s="74"/>
      <c r="G34" s="74"/>
      <c r="H34" s="74"/>
      <c r="I34" s="74"/>
      <c r="J34" s="74"/>
      <c r="K34" s="74"/>
      <c r="L34" s="74"/>
      <c r="M34" s="74"/>
      <c r="N34" s="74"/>
      <c r="O34" s="74"/>
      <c r="P34" s="74"/>
      <c r="Q34" s="81"/>
      <c r="R34" s="81"/>
      <c r="S34" s="81"/>
      <c r="T34" s="81"/>
      <c r="U34" s="81"/>
      <c r="V34" s="80"/>
      <c r="W34" s="80"/>
      <c r="X34" s="80"/>
      <c r="Y34" s="80"/>
    </row>
    <row r="35" spans="2:25">
      <c r="E35" s="74"/>
      <c r="F35" s="74"/>
      <c r="G35" s="74"/>
      <c r="H35" s="74"/>
      <c r="I35" s="74"/>
      <c r="J35" s="74"/>
      <c r="K35" s="74"/>
      <c r="L35" s="74"/>
      <c r="M35" s="74"/>
      <c r="N35" s="74"/>
      <c r="O35" s="74"/>
      <c r="P35" s="74"/>
      <c r="Q35" s="74"/>
      <c r="R35" s="74"/>
      <c r="S35" s="81"/>
      <c r="T35" s="81"/>
      <c r="U35" s="81"/>
      <c r="V35" s="80"/>
      <c r="W35" s="82"/>
      <c r="X35" s="80"/>
      <c r="Y35" s="80"/>
    </row>
    <row r="36" spans="2:25">
      <c r="E36" s="74"/>
      <c r="F36" s="74"/>
      <c r="G36" s="74"/>
      <c r="H36" s="74"/>
      <c r="I36" s="74"/>
      <c r="J36" s="74"/>
      <c r="K36" s="74"/>
      <c r="L36" s="74"/>
      <c r="M36" s="74"/>
      <c r="N36" s="74"/>
      <c r="O36" s="74"/>
      <c r="P36" s="74"/>
      <c r="Q36" s="81"/>
      <c r="R36" s="81"/>
      <c r="S36" s="81"/>
      <c r="T36" s="81"/>
      <c r="U36" s="81"/>
      <c r="V36" s="80"/>
      <c r="W36" s="80"/>
      <c r="X36" s="80"/>
      <c r="Y36" s="80"/>
    </row>
    <row r="37" spans="2:25">
      <c r="E37" s="74"/>
      <c r="F37" s="74"/>
      <c r="G37" s="74"/>
      <c r="H37" s="74"/>
      <c r="I37" s="74"/>
      <c r="J37" s="74"/>
      <c r="K37" s="74"/>
      <c r="L37" s="74"/>
      <c r="M37" s="74"/>
      <c r="N37" s="74"/>
      <c r="O37" s="74"/>
      <c r="P37" s="74"/>
      <c r="Q37" s="81"/>
      <c r="R37" s="81"/>
      <c r="S37" s="81"/>
      <c r="T37" s="81"/>
      <c r="U37" s="81"/>
      <c r="V37" s="80"/>
      <c r="W37" s="83"/>
      <c r="X37" s="80"/>
      <c r="Y37" s="80"/>
    </row>
    <row r="38" spans="2:25">
      <c r="E38" s="74"/>
      <c r="F38" s="74"/>
      <c r="G38" s="74"/>
      <c r="H38" s="74"/>
      <c r="I38" s="74"/>
      <c r="J38" s="74"/>
      <c r="K38" s="74"/>
      <c r="L38" s="74"/>
      <c r="M38" s="74"/>
      <c r="N38" s="74"/>
      <c r="O38" s="74"/>
      <c r="P38" s="74"/>
      <c r="Q38" s="81"/>
      <c r="R38" s="81"/>
      <c r="S38" s="81"/>
      <c r="T38" s="81"/>
      <c r="U38" s="81"/>
      <c r="V38" s="80"/>
      <c r="W38" s="80"/>
      <c r="X38" s="80"/>
      <c r="Y38" s="80"/>
    </row>
    <row r="39" spans="2:25">
      <c r="E39" s="74"/>
      <c r="F39" s="74"/>
      <c r="G39" s="74"/>
      <c r="H39" s="74"/>
      <c r="I39" s="74"/>
      <c r="J39" s="74"/>
      <c r="K39" s="74"/>
      <c r="L39" s="74"/>
      <c r="M39" s="74"/>
      <c r="N39" s="74"/>
      <c r="O39" s="74"/>
      <c r="P39" s="74"/>
      <c r="R39" s="81"/>
      <c r="S39" s="81"/>
      <c r="T39" s="81"/>
      <c r="U39" s="81"/>
      <c r="V39" s="80"/>
      <c r="W39" s="84"/>
      <c r="X39" s="80"/>
      <c r="Y39" s="80"/>
    </row>
    <row r="40" spans="2:25" ht="18.75">
      <c r="B40" s="71"/>
      <c r="E40" s="63"/>
      <c r="F40" s="63"/>
      <c r="G40" s="63"/>
      <c r="H40" s="63"/>
      <c r="I40" s="63"/>
      <c r="J40" s="63"/>
      <c r="K40" s="63"/>
      <c r="L40" s="63"/>
      <c r="M40" s="63"/>
      <c r="N40" s="63"/>
      <c r="O40" s="63"/>
      <c r="P40" s="63"/>
    </row>
    <row r="41" spans="2:25">
      <c r="E41" s="63"/>
      <c r="F41" s="63"/>
      <c r="G41" s="63"/>
      <c r="H41" s="63"/>
      <c r="I41" s="63"/>
      <c r="J41" s="63"/>
      <c r="K41" s="63"/>
      <c r="L41" s="63"/>
      <c r="M41" s="63"/>
      <c r="N41" s="63"/>
      <c r="O41" s="63"/>
      <c r="P41" s="63"/>
    </row>
    <row r="42" spans="2:25">
      <c r="E42" s="63"/>
      <c r="F42" s="63"/>
      <c r="G42" s="63"/>
      <c r="H42" s="63"/>
      <c r="I42" s="63"/>
      <c r="J42" s="63"/>
      <c r="K42" s="63"/>
      <c r="L42" s="63"/>
      <c r="M42" s="63"/>
      <c r="N42" s="63"/>
      <c r="O42" s="63"/>
      <c r="P42" s="63"/>
    </row>
  </sheetData>
  <sheetProtection algorithmName="SHA-512" hashValue="FhQ/KY1aTARHn+lCqMlRLxROBZCaF/KYRMEwm6SXs7cQ/pl30Q8TTa1wU6pLsWfpaaAUCARbt2VZILZ8Guo1Jg==" saltValue="8tEdP+GXeHwzpy+S+tKNNw==" spinCount="100000" sheet="1" objects="1" scenarios="1"/>
  <mergeCells count="1">
    <mergeCell ref="R1:V5"/>
  </mergeCells>
  <pageMargins left="0.7" right="0.7" top="0.75" bottom="0.75" header="0.3" footer="0.3"/>
  <drawing r:id="rId1"/>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1DE038A-6A61-4E7C-A9D2-58877A7DAF53}">
  <dimension ref="B2:CG201"/>
  <sheetViews>
    <sheetView topLeftCell="A180" zoomScale="70" zoomScaleNormal="70" workbookViewId="0">
      <selection activeCell="H34" sqref="H34"/>
    </sheetView>
  </sheetViews>
  <sheetFormatPr defaultColWidth="9.140625" defaultRowHeight="15"/>
  <cols>
    <col min="1" max="3" width="9.140625" style="1"/>
    <col min="4" max="4" width="9.140625" style="1" customWidth="1"/>
    <col min="5" max="5" width="2.5703125" style="1" customWidth="1"/>
    <col min="6" max="8" width="9.140625" style="1"/>
    <col min="9" max="9" width="24.85546875" style="1" customWidth="1"/>
    <col min="10" max="10" width="12.7109375" style="1" customWidth="1"/>
    <col min="11" max="15" width="12.5703125" style="1" customWidth="1"/>
    <col min="16" max="16" width="15" style="1" bestFit="1" customWidth="1"/>
    <col min="17" max="17" width="2.5703125" style="1" customWidth="1"/>
    <col min="18" max="16384" width="9.140625" style="1"/>
  </cols>
  <sheetData>
    <row r="2" spans="2:25">
      <c r="E2" s="47"/>
      <c r="F2" s="46"/>
      <c r="G2" s="46"/>
      <c r="H2" s="46"/>
      <c r="I2" s="46"/>
      <c r="J2" s="46"/>
      <c r="K2" s="46"/>
      <c r="L2" s="46"/>
      <c r="M2" s="46"/>
      <c r="N2" s="46"/>
      <c r="O2" s="46"/>
      <c r="P2" s="46"/>
      <c r="Q2" s="45"/>
      <c r="R2" s="48"/>
      <c r="S2" s="48"/>
      <c r="T2" s="48"/>
      <c r="U2" s="48"/>
      <c r="V2" s="48"/>
      <c r="W2" s="48"/>
      <c r="X2" s="48"/>
      <c r="Y2" s="48"/>
    </row>
    <row r="3" spans="2:25">
      <c r="E3" s="27"/>
      <c r="F3" s="261" t="s">
        <v>0</v>
      </c>
      <c r="G3" s="261"/>
      <c r="H3" s="261"/>
      <c r="I3" s="261"/>
      <c r="J3" s="261"/>
      <c r="K3" s="261"/>
      <c r="L3" s="261"/>
      <c r="M3" s="261"/>
      <c r="N3" s="261"/>
      <c r="O3" s="261"/>
      <c r="P3" s="261"/>
      <c r="Q3" s="44"/>
      <c r="R3" s="49"/>
      <c r="S3" s="48"/>
      <c r="T3" s="48"/>
      <c r="U3" s="48"/>
      <c r="V3" s="48"/>
      <c r="W3" s="48"/>
      <c r="X3" s="48"/>
      <c r="Y3" s="48"/>
    </row>
    <row r="4" spans="2:25" ht="15.75" thickBot="1">
      <c r="B4" s="43"/>
      <c r="E4" s="27"/>
      <c r="F4" s="262" t="s">
        <v>1</v>
      </c>
      <c r="G4" s="262"/>
      <c r="H4" s="262"/>
      <c r="I4" s="262"/>
      <c r="J4" s="262"/>
      <c r="K4" s="262"/>
      <c r="L4" s="262"/>
      <c r="M4" s="262"/>
      <c r="N4" s="262"/>
      <c r="O4" s="262"/>
      <c r="P4" s="262"/>
      <c r="Q4" s="22"/>
      <c r="R4" s="48"/>
      <c r="S4" s="48"/>
      <c r="T4" s="48"/>
      <c r="U4" s="48"/>
      <c r="V4" s="48"/>
      <c r="W4" s="48"/>
      <c r="X4" s="48"/>
      <c r="Y4" s="48"/>
    </row>
    <row r="5" spans="2:25" ht="16.5" thickTop="1" thickBot="1">
      <c r="E5" s="42"/>
      <c r="F5" s="263" t="s">
        <v>2</v>
      </c>
      <c r="G5" s="264"/>
      <c r="H5" s="265"/>
      <c r="I5" s="41" t="s">
        <v>3</v>
      </c>
      <c r="J5" s="40" t="s">
        <v>4</v>
      </c>
      <c r="K5" s="39" t="s">
        <v>5</v>
      </c>
      <c r="L5" s="39" t="s">
        <v>6</v>
      </c>
      <c r="M5" s="39" t="s">
        <v>7</v>
      </c>
      <c r="N5" s="39" t="s">
        <v>8</v>
      </c>
      <c r="O5" s="39" t="s">
        <v>9</v>
      </c>
      <c r="P5" s="39" t="s">
        <v>10</v>
      </c>
      <c r="Q5" s="32"/>
      <c r="R5" s="48"/>
      <c r="S5" s="48"/>
      <c r="T5" s="48"/>
      <c r="U5" s="48"/>
      <c r="V5" s="48"/>
      <c r="W5" s="48"/>
      <c r="X5" s="48"/>
      <c r="Y5" s="48"/>
    </row>
    <row r="6" spans="2:25" ht="15.75" thickTop="1">
      <c r="E6" s="27"/>
      <c r="F6" s="266" t="s">
        <v>11</v>
      </c>
      <c r="G6" s="267"/>
      <c r="H6" s="268"/>
      <c r="I6" s="38" t="s">
        <v>12</v>
      </c>
      <c r="J6" s="89">
        <v>1</v>
      </c>
      <c r="K6" s="90">
        <v>1</v>
      </c>
      <c r="L6" s="91"/>
      <c r="M6" s="91"/>
      <c r="N6" s="91"/>
      <c r="O6" s="91"/>
      <c r="P6" s="37" t="s">
        <v>13</v>
      </c>
      <c r="Q6" s="32"/>
      <c r="R6" s="48"/>
      <c r="S6" s="48"/>
      <c r="T6" s="48"/>
      <c r="U6" s="48"/>
      <c r="V6" s="48"/>
      <c r="W6" s="48"/>
      <c r="X6" s="48"/>
      <c r="Y6" s="48"/>
    </row>
    <row r="7" spans="2:25" ht="62.25" customHeight="1">
      <c r="E7" s="27"/>
      <c r="F7" s="269" t="s">
        <v>14</v>
      </c>
      <c r="G7" s="269"/>
      <c r="H7" s="270"/>
      <c r="I7" s="85" t="s">
        <v>15</v>
      </c>
      <c r="J7" s="99" t="s">
        <v>16</v>
      </c>
      <c r="K7" s="100" t="s">
        <v>17</v>
      </c>
      <c r="L7" s="100" t="s">
        <v>13</v>
      </c>
      <c r="M7" s="100" t="s">
        <v>13</v>
      </c>
      <c r="N7" s="100" t="s">
        <v>13</v>
      </c>
      <c r="O7" s="100" t="s">
        <v>13</v>
      </c>
      <c r="P7" s="35" t="s">
        <v>13</v>
      </c>
      <c r="Q7" s="22"/>
      <c r="R7" s="48"/>
      <c r="S7" s="48"/>
      <c r="T7" s="48"/>
      <c r="U7" s="48"/>
      <c r="V7" s="48"/>
      <c r="W7" s="48"/>
      <c r="X7" s="48"/>
      <c r="Y7" s="48"/>
    </row>
    <row r="8" spans="2:25" ht="44.25" customHeight="1">
      <c r="E8" s="27"/>
      <c r="F8" s="271"/>
      <c r="G8" s="271"/>
      <c r="H8" s="272"/>
      <c r="I8" s="53" t="s">
        <v>18</v>
      </c>
      <c r="J8" s="101" t="s">
        <v>19</v>
      </c>
      <c r="K8" s="100" t="s">
        <v>19</v>
      </c>
      <c r="L8" s="100" t="s">
        <v>13</v>
      </c>
      <c r="M8" s="100" t="s">
        <v>13</v>
      </c>
      <c r="N8" s="100" t="s">
        <v>13</v>
      </c>
      <c r="O8" s="100" t="s">
        <v>13</v>
      </c>
      <c r="P8" s="35" t="s">
        <v>13</v>
      </c>
      <c r="Q8" s="22"/>
      <c r="R8" s="48"/>
      <c r="S8" s="48"/>
      <c r="T8" s="48"/>
      <c r="U8" s="48"/>
      <c r="V8" s="48"/>
      <c r="W8" s="48"/>
      <c r="X8" s="48"/>
      <c r="Y8" s="48"/>
    </row>
    <row r="9" spans="2:25" ht="30" customHeight="1">
      <c r="E9" s="27"/>
      <c r="F9" s="50"/>
      <c r="G9" s="52"/>
      <c r="H9" s="51"/>
      <c r="I9" s="54" t="s">
        <v>20</v>
      </c>
      <c r="J9" s="99" t="s">
        <v>21</v>
      </c>
      <c r="K9" s="100" t="s">
        <v>22</v>
      </c>
      <c r="L9" s="100" t="s">
        <v>13</v>
      </c>
      <c r="M9" s="100" t="s">
        <v>13</v>
      </c>
      <c r="N9" s="100" t="s">
        <v>13</v>
      </c>
      <c r="O9" s="100" t="s">
        <v>13</v>
      </c>
      <c r="P9" s="35" t="s">
        <v>13</v>
      </c>
      <c r="Q9" s="22"/>
      <c r="R9" s="48"/>
      <c r="S9" s="48"/>
      <c r="T9" s="48"/>
      <c r="U9" s="48"/>
      <c r="V9" s="48"/>
      <c r="W9" s="48"/>
      <c r="X9" s="48"/>
      <c r="Y9" s="48"/>
    </row>
    <row r="10" spans="2:25">
      <c r="E10" s="27"/>
      <c r="F10" s="252" t="s">
        <v>23</v>
      </c>
      <c r="G10" s="253"/>
      <c r="H10" s="254"/>
      <c r="I10" s="36" t="s">
        <v>24</v>
      </c>
      <c r="J10" s="92">
        <v>100000</v>
      </c>
      <c r="K10" s="93"/>
      <c r="L10" s="94"/>
      <c r="M10" s="94"/>
      <c r="N10" s="94"/>
      <c r="O10" s="94"/>
      <c r="P10" s="35" t="s">
        <v>13</v>
      </c>
      <c r="Q10" s="22"/>
      <c r="R10" s="48"/>
      <c r="S10" s="48"/>
      <c r="T10" s="48"/>
      <c r="U10" s="48"/>
      <c r="V10" s="48"/>
      <c r="W10" s="48"/>
      <c r="X10" s="48"/>
      <c r="Y10" s="48"/>
    </row>
    <row r="11" spans="2:25" ht="15.75" thickBot="1">
      <c r="E11" s="27"/>
      <c r="F11" s="255"/>
      <c r="G11" s="256"/>
      <c r="H11" s="257"/>
      <c r="I11" s="34" t="s">
        <v>25</v>
      </c>
      <c r="J11" s="95">
        <v>90000</v>
      </c>
      <c r="K11" s="96"/>
      <c r="L11" s="97"/>
      <c r="M11" s="97"/>
      <c r="N11" s="98"/>
      <c r="O11" s="97"/>
      <c r="P11" s="33" t="s">
        <v>13</v>
      </c>
      <c r="Q11" s="32"/>
      <c r="R11" s="48"/>
      <c r="S11" s="48"/>
      <c r="T11" s="48"/>
      <c r="U11" s="48"/>
      <c r="V11" s="48"/>
      <c r="W11" s="48"/>
      <c r="X11" s="48"/>
      <c r="Y11" s="48"/>
    </row>
    <row r="12" spans="2:25" ht="20.25" customHeight="1">
      <c r="E12" s="27"/>
      <c r="F12" s="258" t="s">
        <v>26</v>
      </c>
      <c r="G12" s="259"/>
      <c r="H12" s="260"/>
      <c r="I12" s="30" t="s">
        <v>27</v>
      </c>
      <c r="J12" s="25" cm="1">
        <f t="array" ref="J12">IF(K23=1,IFERROR(INDEX(N46:N48,J46,COLUMNS(J12)),"-"), IF(K23=2,IFERROR(INDEX(N108:N109,J108,COLUMNS(J12)),"-"), IF(K23=3,IFERROR(INDEX(O144:O148,K144,COLUMNS(J12)),"-"), IF(K23=4, IFERROR(INDEX(P180:P182,L180,COLUMNS(J12)),"-"),""))))</f>
        <v>9.2256000000000005E-3</v>
      </c>
      <c r="K12" s="24" t="str" cm="1">
        <f t="array" ref="K12">IF(Z23=1,IFERROR(INDEX(AC46:AC48,Y46,COLUMNS(K12)),"-"), IF(Z23=2,IFERROR(INDEX(AC108:AC109,Y108,COLUMNS(K12)),"-"), IF(Z23=3,IFERROR(INDEX(AD144:AD148,Z144,COLUMNS(K12)),"-"), IF(Z23=4, IFERROR(INDEX(AE180:AE182,AA180,COLUMNS(K12)),"-"),""))))</f>
        <v>-</v>
      </c>
      <c r="L12" s="24" t="str" cm="1">
        <f t="array" ref="L12">IF(AN23=1,IFERROR(INDEX(AQ46:AQ48,AM46,COLUMNS(L12)),"-"), IF(AN23=2,IFERROR(INDEX(AQ108:AQ109,AM108,COLUMNS(L12)),"-"), IF(AN23=3,IFERROR(INDEX(AR144:AR148,AN144,COLUMNS(L12)),"-"), IF(AN23=4, IFERROR(INDEX(AS180:AS182,AO180,COLUMNS(L12)),"-"),""))))</f>
        <v/>
      </c>
      <c r="M12" s="24" t="str" cm="1">
        <f t="array" ref="M12">IF(BB23=1,IFERROR(INDEX(BE46:BE48,BA46,COLUMNS(M12)),"-"), IF(BB23=2,IFERROR(INDEX(BE108:BE109,BA108,COLUMNS(M12)),"-"), IF(BB23=3,IFERROR(INDEX(BF144:BF148,BB144,COLUMNS(M12)),"-"), IF(BB23=4, IFERROR(INDEX(BG180:BG182,BC180,COLUMNS(M12)),"-"),""))))</f>
        <v/>
      </c>
      <c r="N12" s="31" t="str" cm="1">
        <f t="array" ref="N12">IF(BP23=1,IFERROR(INDEX(BS46:BS48,BO46,COLUMNS(N12)),"-"), IF(BP23=2,IFERROR(INDEX(BS108:BS109,BO108,COLUMNS(N12)),"-"), IF(BP23=3,IFERROR(INDEX(BT144:BT148,BP144,COLUMNS(N12)),"-"), IF(BP23=4, IFERROR(INDEX(BU180:BU182,BQ180,COLUMNS(N12)),"-"),""))))</f>
        <v/>
      </c>
      <c r="O12" s="24" t="str" cm="1">
        <f t="array" ref="O12">IF(CA23=1,IFERROR(INDEX(CD46:CD48,BZ46,COLUMNS(O12)),"-"), IF(CA23=2,IFERROR(INDEX(CD108:CD109,BZ108,COLUMNS(O12)),"-"), IF(CA23=3,IFERROR(INDEX(CE144:CE148,CA144,COLUMNS(O12)),"-"), IF(CA23=4, IFERROR(INDEX(CF180:CF182,CB180,COLUMNS(O12)),"-"),""))))</f>
        <v/>
      </c>
      <c r="P12" s="28">
        <f>IFERROR(SUM(J12:O12),"")</f>
        <v>9.2256000000000005E-3</v>
      </c>
      <c r="Q12" s="22"/>
      <c r="R12" s="48"/>
      <c r="S12" s="48"/>
      <c r="T12" s="48"/>
      <c r="U12" s="48"/>
      <c r="V12" s="48"/>
      <c r="W12" s="48"/>
      <c r="X12" s="48"/>
      <c r="Y12" s="48"/>
    </row>
    <row r="13" spans="2:25" ht="20.25" customHeight="1">
      <c r="E13" s="27"/>
      <c r="F13" s="258"/>
      <c r="G13" s="259"/>
      <c r="H13" s="260"/>
      <c r="I13" s="30" t="s">
        <v>28</v>
      </c>
      <c r="J13" s="25" cm="1">
        <f t="array" ref="J13">IF(K23=1,IFERROR(INDEX(N55:N57,J55,COLUMNS(J13)),"-"), IF(K23=2,IFERROR(INDEX(N99:N100,J99,COLUMNS(J13)),"-"), IF(K23=3,IFERROR(INDEX(O129:O133,K129,COLUMNS(J13)),"-"), IF(K23=4, IFERROR(INDEX(P169:P171,L169,COLUMNS(J13)),"-"),""))))</f>
        <v>0.5396976</v>
      </c>
      <c r="K13" s="24" t="str" cm="1">
        <f t="array" ref="K13">IF(Z23=1,IFERROR(INDEX(AC55:AC57,Y55,COLUMNS(K13)),"-"), IF(Z23=2,IFERROR(INDEX(AC99:AC100,Y99,COLUMNS(K13)),"-"), IF(Z23=3,IFERROR(INDEX(AD129:AD133,Z129,COLUMNS(K13)),"-"), IF(Z23=4, IFERROR(INDEX(AE169:AE171,AA169,COLUMNS(K13)),"-"),""))))</f>
        <v>-</v>
      </c>
      <c r="L13" s="24" t="str" cm="1">
        <f t="array" ref="L13">IF(AN23=1,IFERROR(INDEX(AQ55:AQ57,AM55,COLUMNS(L13)),"-"), IF(AN23=2,IFERROR(INDEX(AQ99:AQ100,AM99,COLUMNS(L13)),"-"), IF(AN23=3,IFERROR(INDEX(AR129:AR133,AN129,COLUMNS(L13)),"-"), IF(AN23=4, IFERROR(INDEX(AS169:AS171,AO169,COLUMNS(L13)),"-"),""))))</f>
        <v/>
      </c>
      <c r="M13" s="24" t="str" cm="1">
        <f t="array" ref="M13">IF(BB23=1,IFERROR(INDEX(BE55:BE57,BA55,COLUMNS(M13)),"-"), IF(BB23=2,IFERROR(INDEX(BE99:BE100,BA99,COLUMNS(M13)),"-"), IF(BB23=3,IFERROR(INDEX(BF129:BF133,BB129,COLUMNS(M13)),"-"), IF(BB23=4, IFERROR(INDEX(BG169:BG171,BC169,COLUMNS(M13)),"-"),""))))</f>
        <v/>
      </c>
      <c r="N13" s="24" t="str" cm="1">
        <f t="array" ref="N13">IF(BP23=1,IFERROR(INDEX(BS55:BS57,BO55,COLUMNS(N13)),"-"), IF(BP23=2,IFERROR(INDEX(BS99:BS100,BO99,COLUMNS(N13)),"-"), IF(BP23=3,IFERROR(INDEX(BT129:BT133,BP129,COLUMNS(N13)),"-"), IF(BP23=4, IFERROR(INDEX(BU169:BU171,BQ169,COLUMNS(N13)),"-"),""))))</f>
        <v/>
      </c>
      <c r="O13" s="24" t="str" cm="1">
        <f t="array" ref="O13">IF(CA23=1,IFERROR(INDEX(CD55:CD57,BZ55,COLUMNS(O13)),"-"), IF(CA23=2,IFERROR(INDEX(CD99:CD100,BZ99,COLUMNS(O13)),"-"), IF(CA23=3,IFERROR(INDEX(CE129:CE133,CA129,COLUMNS(O13)),"-"), IF(CA23=4, IFERROR(INDEX(CF169:CF171,CB169,COLUMNS(O13)),"-"),""))))</f>
        <v/>
      </c>
      <c r="P13" s="28">
        <f>IFERROR(SUM(J13:O13),"")</f>
        <v>0.5396976</v>
      </c>
      <c r="Q13" s="22"/>
      <c r="R13" s="48"/>
      <c r="S13" s="48"/>
      <c r="T13" s="48"/>
      <c r="U13" s="48"/>
      <c r="V13" s="48"/>
      <c r="W13" s="48"/>
      <c r="X13" s="48"/>
      <c r="Y13" s="48"/>
    </row>
    <row r="14" spans="2:25" ht="20.25" customHeight="1">
      <c r="E14" s="27"/>
      <c r="F14" s="258"/>
      <c r="G14" s="259"/>
      <c r="H14" s="260"/>
      <c r="I14" s="29" t="s">
        <v>29</v>
      </c>
      <c r="J14" s="25" cm="1">
        <f t="array" ref="J14">IF(K23=1,IFERROR(INDEX(N65:N67,J65,COLUMNS(J14)),"-"), IF(K23=2,IFERROR(INDEX(N103:N104,J103,COLUMNS(J14)),"-"), IF(K23=3,IFERROR(INDEX(O136:O140,K136,COLUMNS(J14)),"-"), IF(K23=4, IFERROR(INDEX(P174:P176,L174,COLUMNS(J14)),"-"),""))))</f>
        <v>6.365664000000006</v>
      </c>
      <c r="K14" s="24" t="str" cm="1">
        <f t="array" ref="K14">IF(Z23=1,IFERROR(INDEX(AC65:AC67,Y65,COLUMNS(K14)),"-"), IF(Z23=2,IFERROR(INDEX(AC103:AC104,Y103,COLUMNS(K14)),"-"), IF(Z23=3,IFERROR(INDEX(AD136:AD140,Z136,COLUMNS(K14)),"-"), IF(Z23=4, IFERROR(INDEX(AE174:AE176,AA174,COLUMNS(K14)),"-"),""))))</f>
        <v>-</v>
      </c>
      <c r="L14" s="24" t="str" cm="1">
        <f t="array" ref="L14">IF(AN23=1,IFERROR(INDEX(AQ65:AQ67,AM65,COLUMNS(L14)),"-"), IF(AN23=2,IFERROR(INDEX(AQ103:AQ104,AM103,COLUMNS(L14)),"-"), IF(AN23=3,IFERROR(INDEX(AR136:AR140,AN136,COLUMNS(L14)),"-"), IF(AN23=4, IFERROR(INDEX(AS174:AS176,AO174,COLUMNS(L14)),"-"),""))))</f>
        <v/>
      </c>
      <c r="M14" s="24" t="str" cm="1">
        <f t="array" ref="M14">IF(BB23=1,IFERROR(INDEX(BE65:BE67,BA65,COLUMNS(M14)),"-"), IF(BB23=2,IFERROR(INDEX(BE103:BE104,BA103,COLUMNS(M14)),"-"), IF(BB23=3,IFERROR(INDEX(BF136:BF140,BB136,COLUMNS(M14)),"-"), IF(BB23=4, IFERROR(INDEX(BG174:BG176,BC174,COLUMNS(M14)),"-"),""))))</f>
        <v/>
      </c>
      <c r="N14" s="24" t="str" cm="1">
        <f t="array" ref="N14">IF(BP23=1,IFERROR(INDEX(BS65:BS67,BO65,COLUMNS(N14)),"-"), IF(BP23=2,IFERROR(INDEX(BS103:BS104,BO103,COLUMNS(N14)),"-"), IF(BP23=3,IFERROR(INDEX(BT136:BT140,BP136,COLUMNS(N14)),"-"), IF(BP23=4, IFERROR(INDEX(BU174:BU176,BQ174,COLUMNS(N14)),"-"),""))))</f>
        <v/>
      </c>
      <c r="O14" s="24" t="str" cm="1">
        <f t="array" ref="O14">IF(CA23=1,IFERROR(INDEX(CD65:CD67,BZ65,COLUMNS(O14)),"-"), IF(CA23=2,IFERROR(INDEX(CD103:CD104,BZ103,COLUMNS(O14)),"-"), IF(CA23=3,IFERROR(INDEX(CE136:CE140,CA136,COLUMNS(O14)),"-"), IF(CA23=4, IFERROR(INDEX(CF174:CF176,CB174,COLUMNS(O14)),"-"),""))))</f>
        <v/>
      </c>
      <c r="P14" s="28">
        <f>IFERROR(SUM(J14:O14),"")</f>
        <v>6.365664000000006</v>
      </c>
      <c r="Q14" s="22"/>
      <c r="R14" s="48"/>
      <c r="S14" s="48"/>
      <c r="T14" s="48"/>
      <c r="U14" s="48"/>
      <c r="V14" s="48"/>
      <c r="W14" s="48"/>
      <c r="X14" s="48"/>
      <c r="Y14" s="48"/>
    </row>
    <row r="15" spans="2:25" ht="20.25" customHeight="1" thickBot="1">
      <c r="E15" s="27"/>
      <c r="F15" s="258"/>
      <c r="G15" s="259"/>
      <c r="H15" s="260"/>
      <c r="I15" s="26" t="s">
        <v>30</v>
      </c>
      <c r="J15" s="25" cm="1">
        <f t="array" ref="J15">IF(K23=1,IFERROR(INDEX(N75:N77,J75,COLUMNS(J15)),"-"), IF(K23=2,IFERROR(INDEX(N112:N113,J112,COLUMNS(J15)),"-"), IF(K23=3,IFERROR(INDEX(O151:O155,K151,COLUMNS(J15)),"-"), IF(K23=4, IFERROR(INDEX(P185:P187,L185,COLUMNS(J15)),"-"),""))))</f>
        <v>0.77679551999999996</v>
      </c>
      <c r="K15" s="24" t="str" cm="1">
        <f t="array" ref="K15">IF(Z23=1,IFERROR(INDEX(AC75:AC77,Y75,COLUMNS(K15)),"-"), IF(Z23=2,IFERROR(INDEX(AC112:AC113,Y112,COLUMNS(K15)),"-"), IF(Z23=3,IFERROR(INDEX(AD151:AD155,Z151,COLUMNS(K15)),"-"), IF(Z23=4, IFERROR(INDEX(AE185:AE187,AA185,COLUMNS(K15)),"-"),""))))</f>
        <v>-</v>
      </c>
      <c r="L15" s="24" t="str" cm="1">
        <f t="array" ref="L15">IF(AN23=1,IFERROR(INDEX(AQ75:AQ77,AM75,COLUMNS(L15)),"-"), IF(AN23=2,IFERROR(INDEX(AQ112:AQ113,AM112,COLUMNS(L15)),"-"), IF(AN23=3,IFERROR(INDEX(AR151:AR155,AN151,COLUMNS(L15)),"-"), IF(AN23=4, IFERROR(INDEX(AS185:AS187,AO185,COLUMNS(L15)),"-"),""))))</f>
        <v/>
      </c>
      <c r="M15" s="24" t="str" cm="1">
        <f t="array" ref="M15">IF(BB23=1,IFERROR(INDEX(BE75:BE77,BA75,COLUMNS(M15)),"-"), IF(BB23=2,IFERROR(INDEX(BE112:BE113,BA112,COLUMNS(M15)),"-"), IF(BB23=3,IFERROR(INDEX(BF151:BF155,BB151,COLUMNS(M15)),"-"), IF(BB23=4, IFERROR(INDEX(BG185:BG187,BC185,COLUMNS(M15)),"-"),""))))</f>
        <v/>
      </c>
      <c r="N15" s="24" t="str" cm="1">
        <f t="array" ref="N15">IF(BP23=1,IFERROR(INDEX(BS75:BS77,BO75,COLUMNS(N15)),"-"), IF(BP23=2,IFERROR(INDEX(BS112:BS113,BO112,COLUMNS(N15)),"-"), IF(BP23=3,IFERROR(INDEX(BT151:BT155,BP151,COLUMNS(N15)),"-"), IF(BP23=4, IFERROR(INDEX(BU185:BU187,BQ185,COLUMNS(N15)),"-"),""))))</f>
        <v/>
      </c>
      <c r="O15" s="23" t="str" cm="1">
        <f t="array" ref="O15">IF(CA23=1,IFERROR(INDEX(CD75:CD77,BZ75,COLUMNS(O15)),"-"), IF(CA23=2,IFERROR(INDEX(CD112:CD113,BZ112,COLUMNS(O15)),"-"), IF(CA23=3,IFERROR(INDEX(CE151:CE155,CA151,COLUMNS(O15)),"-"), IF(CA23=4, IFERROR(INDEX(CF185:CF187,CB185,COLUMNS(O15)),"-"),""))))</f>
        <v/>
      </c>
      <c r="P15" s="102">
        <f>IFERROR(SUM(J15:O15),"")</f>
        <v>0.77679551999999996</v>
      </c>
      <c r="Q15" s="22"/>
      <c r="R15" s="48"/>
      <c r="S15" s="48"/>
      <c r="T15" s="48"/>
      <c r="U15" s="48"/>
      <c r="V15" s="48"/>
      <c r="W15" s="48"/>
      <c r="X15" s="48"/>
      <c r="Y15" s="48"/>
    </row>
    <row r="16" spans="2:25">
      <c r="E16" s="21"/>
      <c r="F16" s="20"/>
      <c r="G16" s="20"/>
      <c r="H16" s="20"/>
      <c r="I16" s="20"/>
      <c r="J16" s="20"/>
      <c r="K16" s="20"/>
      <c r="L16" s="20"/>
      <c r="M16" s="20"/>
      <c r="N16" s="20"/>
      <c r="O16" s="19"/>
      <c r="P16" s="103"/>
      <c r="Q16" s="18"/>
      <c r="R16" s="48"/>
      <c r="S16" s="48"/>
      <c r="T16" s="48"/>
      <c r="U16" s="48"/>
      <c r="V16" s="48"/>
      <c r="W16" s="48"/>
      <c r="X16" s="48"/>
      <c r="Y16" s="48"/>
    </row>
    <row r="17" spans="6:85" ht="14.25" customHeight="1"/>
    <row r="19" spans="6:85">
      <c r="F19" s="2"/>
      <c r="G19" s="16" t="s">
        <v>31</v>
      </c>
      <c r="H19" s="16"/>
      <c r="I19" s="2"/>
      <c r="J19" s="2"/>
      <c r="K19" s="2"/>
      <c r="L19" s="2"/>
      <c r="M19" s="2"/>
      <c r="N19" s="2"/>
      <c r="O19" s="2"/>
      <c r="P19" s="2"/>
      <c r="Q19" s="2"/>
      <c r="R19" s="2"/>
      <c r="S19" s="2"/>
    </row>
    <row r="20" spans="6:85">
      <c r="F20" s="2"/>
      <c r="G20" s="16"/>
      <c r="H20" s="16"/>
      <c r="I20" s="11"/>
      <c r="J20" s="17" t="s">
        <v>32</v>
      </c>
      <c r="N20" s="2"/>
      <c r="O20" s="2"/>
      <c r="P20" s="2"/>
      <c r="Q20" s="2"/>
      <c r="R20" s="2"/>
      <c r="S20" s="2"/>
    </row>
    <row r="21" spans="6:85">
      <c r="F21" s="2"/>
      <c r="G21" s="15" t="s">
        <v>33</v>
      </c>
      <c r="H21" s="16"/>
      <c r="I21" s="2"/>
      <c r="J21" s="2"/>
      <c r="K21" s="2"/>
      <c r="L21" s="2"/>
      <c r="M21" s="16" t="s">
        <v>34</v>
      </c>
      <c r="N21" s="2"/>
      <c r="O21" s="2"/>
      <c r="P21" s="2"/>
      <c r="Q21" s="2"/>
      <c r="R21" s="2"/>
      <c r="S21" s="2"/>
      <c r="U21" s="2"/>
      <c r="V21" s="15" t="s">
        <v>35</v>
      </c>
      <c r="W21" s="16"/>
      <c r="X21" s="2"/>
      <c r="Y21" s="2"/>
      <c r="Z21" s="2"/>
      <c r="AA21" s="2"/>
      <c r="AB21" s="2"/>
      <c r="AC21" s="2"/>
      <c r="AD21" s="2"/>
      <c r="AE21" s="2"/>
      <c r="AF21" s="2"/>
      <c r="AG21" s="2"/>
      <c r="AH21" s="2"/>
      <c r="AI21" s="2"/>
      <c r="AJ21" s="15" t="s">
        <v>36</v>
      </c>
      <c r="AK21" s="16"/>
      <c r="AL21" s="2"/>
      <c r="AM21" s="2"/>
      <c r="AN21" s="2"/>
      <c r="AO21" s="2"/>
      <c r="AP21" s="2"/>
      <c r="AQ21" s="2"/>
      <c r="AR21" s="2"/>
      <c r="AS21" s="2"/>
      <c r="AT21" s="2"/>
      <c r="AU21" s="2"/>
      <c r="AW21" s="2"/>
      <c r="AX21" s="15" t="s">
        <v>37</v>
      </c>
      <c r="AY21" s="16"/>
      <c r="AZ21" s="2"/>
      <c r="BA21" s="2"/>
      <c r="BB21" s="2"/>
      <c r="BC21" s="2"/>
      <c r="BD21" s="2"/>
      <c r="BE21" s="2"/>
      <c r="BF21" s="2"/>
      <c r="BG21" s="2"/>
      <c r="BH21" s="2"/>
      <c r="BK21" s="2"/>
      <c r="BL21" s="15" t="s">
        <v>38</v>
      </c>
      <c r="BM21" s="16"/>
      <c r="BN21" s="2"/>
      <c r="BO21" s="2"/>
      <c r="BP21" s="2"/>
      <c r="BQ21" s="2"/>
      <c r="BR21" s="2"/>
      <c r="BS21" s="2"/>
      <c r="BT21" s="2"/>
      <c r="BU21" s="2"/>
      <c r="BV21" s="2"/>
      <c r="BW21" s="15" t="s">
        <v>39</v>
      </c>
      <c r="BX21" s="16"/>
      <c r="BY21" s="2"/>
      <c r="BZ21" s="2"/>
      <c r="CA21" s="2"/>
      <c r="CB21" s="2"/>
      <c r="CC21" s="2"/>
      <c r="CD21" s="2"/>
      <c r="CE21" s="2"/>
      <c r="CF21" s="2"/>
      <c r="CG21" s="2"/>
    </row>
    <row r="22" spans="6:85">
      <c r="F22" s="2"/>
      <c r="G22" s="16"/>
      <c r="H22" s="16"/>
      <c r="I22" s="2"/>
      <c r="J22" s="2" t="s">
        <v>40</v>
      </c>
      <c r="K22" s="2" t="s">
        <v>40</v>
      </c>
      <c r="L22" s="2"/>
      <c r="M22" s="2"/>
      <c r="N22" s="2" t="s">
        <v>40</v>
      </c>
      <c r="O22" s="2"/>
      <c r="P22" s="2"/>
      <c r="Q22" s="2"/>
      <c r="R22" s="2"/>
      <c r="S22" s="2"/>
      <c r="U22" s="2"/>
      <c r="V22" s="16"/>
      <c r="W22" s="16"/>
      <c r="X22" s="2"/>
      <c r="Y22" s="2" t="s">
        <v>40</v>
      </c>
      <c r="Z22" s="2" t="s">
        <v>40</v>
      </c>
      <c r="AA22" s="2"/>
      <c r="AB22" s="2"/>
      <c r="AC22" s="2"/>
      <c r="AD22" s="2"/>
      <c r="AE22" s="2"/>
      <c r="AF22" s="2"/>
      <c r="AG22" s="2"/>
      <c r="AH22" s="2"/>
      <c r="AI22" s="2"/>
      <c r="AJ22" s="16"/>
      <c r="AK22" s="16"/>
      <c r="AL22" s="2"/>
      <c r="AM22" s="2" t="s">
        <v>40</v>
      </c>
      <c r="AN22" s="2" t="s">
        <v>40</v>
      </c>
      <c r="AO22" s="2"/>
      <c r="AP22" s="2"/>
      <c r="AQ22" s="2"/>
      <c r="AR22" s="2"/>
      <c r="AS22" s="2"/>
      <c r="AT22" s="2"/>
      <c r="AU22" s="2"/>
      <c r="AW22" s="2"/>
      <c r="AX22" s="16"/>
      <c r="AY22" s="16"/>
      <c r="AZ22" s="2"/>
      <c r="BA22" s="2" t="s">
        <v>40</v>
      </c>
      <c r="BB22" s="2" t="s">
        <v>40</v>
      </c>
      <c r="BC22" s="2"/>
      <c r="BD22" s="2"/>
      <c r="BE22" s="2"/>
      <c r="BF22" s="2"/>
      <c r="BG22" s="2"/>
      <c r="BH22" s="2"/>
      <c r="BK22" s="2"/>
      <c r="BL22" s="16"/>
      <c r="BM22" s="16"/>
      <c r="BN22" s="2"/>
      <c r="BO22" s="2" t="s">
        <v>40</v>
      </c>
      <c r="BP22" s="2" t="s">
        <v>40</v>
      </c>
      <c r="BQ22" s="2"/>
      <c r="BR22" s="2"/>
      <c r="BS22" s="2"/>
      <c r="BT22" s="2"/>
      <c r="BU22" s="2"/>
      <c r="BV22" s="2"/>
      <c r="BW22" s="16"/>
      <c r="BX22" s="16"/>
      <c r="BY22" s="2"/>
      <c r="BZ22" s="2" t="s">
        <v>40</v>
      </c>
      <c r="CA22" s="2" t="s">
        <v>40</v>
      </c>
      <c r="CB22" s="2"/>
      <c r="CC22" s="2"/>
      <c r="CD22" s="2"/>
      <c r="CE22" s="2"/>
      <c r="CF22" s="2"/>
      <c r="CG22" s="2"/>
    </row>
    <row r="23" spans="6:85">
      <c r="F23" s="2">
        <v>1</v>
      </c>
      <c r="G23" s="16" t="s">
        <v>16</v>
      </c>
      <c r="H23" s="16"/>
      <c r="I23" s="2"/>
      <c r="J23" s="2">
        <f>IF((J$7=G23),F23,"")</f>
        <v>1</v>
      </c>
      <c r="K23" s="2">
        <f>IFERROR(SMALL(J$23:J$27,F23),"")</f>
        <v>1</v>
      </c>
      <c r="L23" s="2">
        <v>1</v>
      </c>
      <c r="M23" s="17" t="s">
        <v>13</v>
      </c>
      <c r="N23" s="2" t="str">
        <f>IF((J$7=M23),L23,"")</f>
        <v/>
      </c>
      <c r="O23" s="2"/>
      <c r="P23" s="2"/>
      <c r="Q23" s="2"/>
      <c r="R23" s="2"/>
      <c r="S23" s="2"/>
      <c r="U23" s="2">
        <v>1</v>
      </c>
      <c r="V23" s="16" t="s">
        <v>16</v>
      </c>
      <c r="W23" s="16"/>
      <c r="X23" s="2"/>
      <c r="Y23" s="2" t="str">
        <f>IF((K$7=V23),U23,"")</f>
        <v/>
      </c>
      <c r="Z23" s="2">
        <f>IFERROR(SMALL(Y$23:Y$27,U23),"")</f>
        <v>3</v>
      </c>
      <c r="AA23" s="2"/>
      <c r="AB23" s="2"/>
      <c r="AC23" s="2"/>
      <c r="AD23" s="2"/>
      <c r="AE23" s="2"/>
      <c r="AF23" s="2"/>
      <c r="AG23" s="2"/>
      <c r="AH23" s="2"/>
      <c r="AI23" s="2">
        <v>1</v>
      </c>
      <c r="AJ23" s="16" t="s">
        <v>16</v>
      </c>
      <c r="AK23" s="16"/>
      <c r="AL23" s="2"/>
      <c r="AM23" s="2" t="str">
        <f>IF((L$7=AJ23),AI23,"")</f>
        <v/>
      </c>
      <c r="AN23" s="2">
        <f>IFERROR(SMALL(AM$23:AM$27,AI23),"")</f>
        <v>5</v>
      </c>
      <c r="AO23" s="2"/>
      <c r="AP23" s="2"/>
      <c r="AQ23" s="2"/>
      <c r="AR23" s="2"/>
      <c r="AS23" s="2"/>
      <c r="AT23" s="2"/>
      <c r="AU23" s="2"/>
      <c r="AW23" s="2">
        <v>1</v>
      </c>
      <c r="AX23" s="16" t="s">
        <v>16</v>
      </c>
      <c r="AY23" s="16"/>
      <c r="AZ23" s="2"/>
      <c r="BA23" s="2" t="str">
        <f>IF((M$7=AX23),AW23,"")</f>
        <v/>
      </c>
      <c r="BB23" s="2">
        <f>IFERROR(SMALL(BA$23:BA$27,AW23),"")</f>
        <v>5</v>
      </c>
      <c r="BC23" s="2"/>
      <c r="BD23" s="2"/>
      <c r="BE23" s="2"/>
      <c r="BF23" s="2"/>
      <c r="BG23" s="2"/>
      <c r="BH23" s="2"/>
      <c r="BK23" s="2">
        <v>1</v>
      </c>
      <c r="BL23" s="16" t="s">
        <v>16</v>
      </c>
      <c r="BM23" s="16"/>
      <c r="BN23" s="2"/>
      <c r="BO23" s="2" t="str">
        <f>IF((N$7=BL23),BK23,"")</f>
        <v/>
      </c>
      <c r="BP23" s="2">
        <f>IFERROR(SMALL(BO$23:BO$27,BK23),"")</f>
        <v>5</v>
      </c>
      <c r="BQ23" s="2"/>
      <c r="BR23" s="2"/>
      <c r="BS23" s="2"/>
      <c r="BT23" s="2"/>
      <c r="BU23" s="2"/>
      <c r="BV23" s="2">
        <v>1</v>
      </c>
      <c r="BW23" s="16" t="s">
        <v>16</v>
      </c>
      <c r="BX23" s="16"/>
      <c r="BY23" s="2"/>
      <c r="BZ23" s="2" t="str">
        <f>IF((O$7=BW23),BV23,"")</f>
        <v/>
      </c>
      <c r="CA23" s="2">
        <f>IFERROR(SMALL(BZ$23:BZ$27,BV23),"")</f>
        <v>5</v>
      </c>
      <c r="CB23" s="2"/>
      <c r="CC23" s="2"/>
      <c r="CD23" s="2"/>
      <c r="CE23" s="2"/>
      <c r="CF23" s="2"/>
      <c r="CG23" s="2"/>
    </row>
    <row r="24" spans="6:85">
      <c r="F24" s="2">
        <v>2</v>
      </c>
      <c r="G24" s="16" t="s">
        <v>41</v>
      </c>
      <c r="H24" s="16"/>
      <c r="I24" s="2"/>
      <c r="J24" s="2" t="str">
        <f>IF((J$7=G24),F24,"")</f>
        <v/>
      </c>
      <c r="K24" s="2" t="str">
        <f>IFERROR(SMALL(J$23:J$26,F24),"")</f>
        <v/>
      </c>
      <c r="L24" s="2"/>
      <c r="M24" s="2"/>
      <c r="N24" s="2"/>
      <c r="O24" s="2"/>
      <c r="P24" s="2"/>
      <c r="Q24" s="2"/>
      <c r="R24" s="2"/>
      <c r="S24" s="2"/>
      <c r="U24" s="2">
        <v>2</v>
      </c>
      <c r="V24" s="16" t="s">
        <v>41</v>
      </c>
      <c r="W24" s="16"/>
      <c r="X24" s="2"/>
      <c r="Y24" s="2" t="str">
        <f>IF((K$7=V24),U24,"")</f>
        <v/>
      </c>
      <c r="Z24" s="2" t="str">
        <f>IFERROR(SMALL(Y$23:Y$26,U24),"")</f>
        <v/>
      </c>
      <c r="AA24" s="2"/>
      <c r="AB24" s="2"/>
      <c r="AC24" s="2"/>
      <c r="AD24" s="2"/>
      <c r="AE24" s="2"/>
      <c r="AF24" s="2"/>
      <c r="AG24" s="2"/>
      <c r="AH24" s="2"/>
      <c r="AI24" s="2">
        <v>2</v>
      </c>
      <c r="AJ24" s="16" t="s">
        <v>41</v>
      </c>
      <c r="AK24" s="16"/>
      <c r="AL24" s="2"/>
      <c r="AM24" s="2" t="str">
        <f>IF((L$7=AJ24),AI24,"")</f>
        <v/>
      </c>
      <c r="AN24" s="2" t="str">
        <f>IFERROR(SMALL(AM$23:AM$26,AI24),"")</f>
        <v/>
      </c>
      <c r="AO24" s="2"/>
      <c r="AP24" s="2"/>
      <c r="AQ24" s="2"/>
      <c r="AR24" s="2"/>
      <c r="AS24" s="2"/>
      <c r="AT24" s="2"/>
      <c r="AU24" s="2"/>
      <c r="AW24" s="2">
        <v>2</v>
      </c>
      <c r="AX24" s="16" t="s">
        <v>41</v>
      </c>
      <c r="AY24" s="16"/>
      <c r="AZ24" s="2"/>
      <c r="BA24" s="2" t="str">
        <f>IF((M$7=AX24),AW24,"")</f>
        <v/>
      </c>
      <c r="BB24" s="2" t="str">
        <f>IFERROR(SMALL(BA$23:BA$26,AW24),"")</f>
        <v/>
      </c>
      <c r="BC24" s="2"/>
      <c r="BD24" s="2"/>
      <c r="BE24" s="2"/>
      <c r="BF24" s="2"/>
      <c r="BG24" s="2"/>
      <c r="BH24" s="2"/>
      <c r="BK24" s="2">
        <v>2</v>
      </c>
      <c r="BL24" s="16" t="s">
        <v>41</v>
      </c>
      <c r="BM24" s="16"/>
      <c r="BN24" s="2"/>
      <c r="BO24" s="2" t="str">
        <f>IF((N$7=BL24),BK24,"")</f>
        <v/>
      </c>
      <c r="BP24" s="2" t="str">
        <f>IFERROR(SMALL(BO$23:BO$26,BK24),"")</f>
        <v/>
      </c>
      <c r="BQ24" s="2"/>
      <c r="BR24" s="2"/>
      <c r="BS24" s="2"/>
      <c r="BT24" s="2"/>
      <c r="BU24" s="2"/>
      <c r="BV24" s="2">
        <v>2</v>
      </c>
      <c r="BW24" s="16" t="s">
        <v>41</v>
      </c>
      <c r="BX24" s="16"/>
      <c r="BY24" s="2"/>
      <c r="BZ24" s="2" t="str">
        <f>IF((O$7=BW24),BV24,"")</f>
        <v/>
      </c>
      <c r="CA24" s="2" t="str">
        <f>IFERROR(SMALL(BZ$23:BZ$26,BV24),"")</f>
        <v/>
      </c>
      <c r="CB24" s="2"/>
      <c r="CC24" s="2"/>
      <c r="CD24" s="2"/>
      <c r="CE24" s="2"/>
      <c r="CF24" s="2"/>
      <c r="CG24" s="2"/>
    </row>
    <row r="25" spans="6:85">
      <c r="F25" s="2">
        <v>3</v>
      </c>
      <c r="G25" s="16" t="s">
        <v>17</v>
      </c>
      <c r="H25" s="16"/>
      <c r="I25" s="2"/>
      <c r="J25" s="2" t="str">
        <f>IF((J$7=G25),F25,"")</f>
        <v/>
      </c>
      <c r="K25" s="2" t="str">
        <f>IFERROR(SMALL(J$23:J$26,F25),"")</f>
        <v/>
      </c>
      <c r="L25" s="2"/>
      <c r="M25" s="2"/>
      <c r="N25" s="2"/>
      <c r="O25" s="2"/>
      <c r="P25" s="2"/>
      <c r="Q25" s="2"/>
      <c r="R25" s="2"/>
      <c r="S25" s="2"/>
      <c r="U25" s="2">
        <v>3</v>
      </c>
      <c r="V25" s="16" t="s">
        <v>17</v>
      </c>
      <c r="W25" s="16"/>
      <c r="X25" s="2"/>
      <c r="Y25" s="2">
        <f>IF((K$7=V25),U25,"")</f>
        <v>3</v>
      </c>
      <c r="Z25" s="2" t="str">
        <f>IFERROR(SMALL(Y$23:Y$26,U25),"")</f>
        <v/>
      </c>
      <c r="AA25" s="2"/>
      <c r="AB25" s="2"/>
      <c r="AC25" s="2"/>
      <c r="AD25" s="2"/>
      <c r="AE25" s="2"/>
      <c r="AF25" s="2"/>
      <c r="AG25" s="2"/>
      <c r="AH25" s="2"/>
      <c r="AI25" s="2">
        <v>3</v>
      </c>
      <c r="AJ25" s="16" t="s">
        <v>17</v>
      </c>
      <c r="AK25" s="16"/>
      <c r="AL25" s="2"/>
      <c r="AM25" s="2" t="str">
        <f>IF((L$7=AJ25),AI25,"")</f>
        <v/>
      </c>
      <c r="AN25" s="2" t="str">
        <f>IFERROR(SMALL(AM$23:AM$26,AI25),"")</f>
        <v/>
      </c>
      <c r="AO25" s="2"/>
      <c r="AP25" s="2"/>
      <c r="AQ25" s="2"/>
      <c r="AR25" s="2"/>
      <c r="AS25" s="2"/>
      <c r="AT25" s="2"/>
      <c r="AU25" s="2"/>
      <c r="AW25" s="2">
        <v>3</v>
      </c>
      <c r="AX25" s="16" t="s">
        <v>17</v>
      </c>
      <c r="AY25" s="16"/>
      <c r="AZ25" s="2"/>
      <c r="BA25" s="2" t="str">
        <f>IF((M$7=AX25),AW25,"")</f>
        <v/>
      </c>
      <c r="BB25" s="2" t="str">
        <f>IFERROR(SMALL(BA$23:BA$26,AW25),"")</f>
        <v/>
      </c>
      <c r="BC25" s="2"/>
      <c r="BD25" s="2"/>
      <c r="BE25" s="2"/>
      <c r="BF25" s="2"/>
      <c r="BG25" s="2"/>
      <c r="BH25" s="2"/>
      <c r="BK25" s="2">
        <v>3</v>
      </c>
      <c r="BL25" s="16" t="s">
        <v>17</v>
      </c>
      <c r="BM25" s="16"/>
      <c r="BN25" s="2"/>
      <c r="BO25" s="2" t="str">
        <f>IF((N$7=BL25),BK25,"")</f>
        <v/>
      </c>
      <c r="BP25" s="2" t="str">
        <f>IFERROR(SMALL(BO$23:BO$26,BK25),"")</f>
        <v/>
      </c>
      <c r="BQ25" s="2"/>
      <c r="BR25" s="2"/>
      <c r="BS25" s="2"/>
      <c r="BT25" s="2"/>
      <c r="BU25" s="2"/>
      <c r="BV25" s="2">
        <v>3</v>
      </c>
      <c r="BW25" s="16" t="s">
        <v>17</v>
      </c>
      <c r="BX25" s="16"/>
      <c r="BY25" s="2"/>
      <c r="BZ25" s="2" t="str">
        <f>IF((O$7=BW25),BV25,"")</f>
        <v/>
      </c>
      <c r="CA25" s="2" t="str">
        <f>IFERROR(SMALL(BZ$23:BZ$26,BV25),"")</f>
        <v/>
      </c>
      <c r="CB25" s="2"/>
      <c r="CC25" s="2"/>
      <c r="CD25" s="2"/>
      <c r="CE25" s="2"/>
      <c r="CF25" s="2"/>
      <c r="CG25" s="2"/>
    </row>
    <row r="26" spans="6:85">
      <c r="F26" s="2">
        <v>4</v>
      </c>
      <c r="G26" s="16" t="s">
        <v>42</v>
      </c>
      <c r="H26" s="16"/>
      <c r="I26" s="2"/>
      <c r="J26" s="2" t="str">
        <f>IF((J$7=G26),F26,"")</f>
        <v/>
      </c>
      <c r="K26" s="2" t="str">
        <f>IFERROR(SMALL(J$23:J$26,F26),"")</f>
        <v/>
      </c>
      <c r="L26" s="2"/>
      <c r="M26" s="2"/>
      <c r="N26" s="2"/>
      <c r="O26" s="2"/>
      <c r="P26" s="2"/>
      <c r="Q26" s="2"/>
      <c r="R26" s="2"/>
      <c r="S26" s="2"/>
      <c r="U26" s="2">
        <v>4</v>
      </c>
      <c r="V26" s="16" t="s">
        <v>42</v>
      </c>
      <c r="W26" s="16"/>
      <c r="X26" s="2"/>
      <c r="Y26" s="2" t="str">
        <f>IF((K$7=V26),U26,"")</f>
        <v/>
      </c>
      <c r="Z26" s="2" t="str">
        <f>IFERROR(SMALL(Y$23:Y$26,U26),"")</f>
        <v/>
      </c>
      <c r="AA26" s="2"/>
      <c r="AB26" s="2"/>
      <c r="AC26" s="2"/>
      <c r="AD26" s="2"/>
      <c r="AE26" s="2"/>
      <c r="AF26" s="2"/>
      <c r="AG26" s="2"/>
      <c r="AH26" s="2"/>
      <c r="AI26" s="2">
        <v>4</v>
      </c>
      <c r="AJ26" s="16" t="s">
        <v>42</v>
      </c>
      <c r="AK26" s="16"/>
      <c r="AL26" s="2"/>
      <c r="AM26" s="2" t="str">
        <f>IF((L$7=AJ26),AI26,"")</f>
        <v/>
      </c>
      <c r="AN26" s="2" t="str">
        <f>IFERROR(SMALL(AM$23:AM$26,AI26),"")</f>
        <v/>
      </c>
      <c r="AO26" s="2"/>
      <c r="AP26" s="2"/>
      <c r="AQ26" s="2"/>
      <c r="AR26" s="2"/>
      <c r="AS26" s="2"/>
      <c r="AT26" s="2"/>
      <c r="AU26" s="2"/>
      <c r="AW26" s="2">
        <v>4</v>
      </c>
      <c r="AX26" s="16" t="s">
        <v>42</v>
      </c>
      <c r="AY26" s="16"/>
      <c r="AZ26" s="2"/>
      <c r="BA26" s="2" t="str">
        <f>IF((M$7=AX26),AW26,"")</f>
        <v/>
      </c>
      <c r="BB26" s="2" t="str">
        <f>IFERROR(SMALL(BA$23:BA$26,AW26),"")</f>
        <v/>
      </c>
      <c r="BC26" s="2"/>
      <c r="BD26" s="2"/>
      <c r="BE26" s="2"/>
      <c r="BF26" s="2"/>
      <c r="BG26" s="2"/>
      <c r="BH26" s="2"/>
      <c r="BK26" s="2">
        <v>4</v>
      </c>
      <c r="BL26" s="16" t="s">
        <v>42</v>
      </c>
      <c r="BM26" s="16"/>
      <c r="BN26" s="2"/>
      <c r="BO26" s="2" t="str">
        <f>IF((N$7=BL26),BK26,"")</f>
        <v/>
      </c>
      <c r="BP26" s="2" t="str">
        <f>IFERROR(SMALL(BO$23:BO$26,BK26),"")</f>
        <v/>
      </c>
      <c r="BQ26" s="2"/>
      <c r="BR26" s="2"/>
      <c r="BS26" s="2"/>
      <c r="BT26" s="2"/>
      <c r="BU26" s="2"/>
      <c r="BV26" s="2">
        <v>4</v>
      </c>
      <c r="BW26" s="16" t="s">
        <v>42</v>
      </c>
      <c r="BX26" s="16"/>
      <c r="BY26" s="2"/>
      <c r="BZ26" s="2" t="str">
        <f>IF((O$7=BW26),BV26,"")</f>
        <v/>
      </c>
      <c r="CA26" s="2" t="str">
        <f>IFERROR(SMALL(BZ$23:BZ$26,BV26),"")</f>
        <v/>
      </c>
      <c r="CB26" s="2"/>
      <c r="CC26" s="2"/>
      <c r="CD26" s="2"/>
      <c r="CE26" s="2"/>
      <c r="CF26" s="2"/>
      <c r="CG26" s="2"/>
    </row>
    <row r="27" spans="6:85">
      <c r="F27" s="2">
        <v>5</v>
      </c>
      <c r="G27" s="87" t="s">
        <v>13</v>
      </c>
      <c r="H27" s="16"/>
      <c r="I27" s="2"/>
      <c r="J27" s="2" t="str">
        <f>IF((J$7=G27),F27,"")</f>
        <v/>
      </c>
      <c r="K27" s="2" t="str">
        <f>IFERROR(SMALL(J$23:J$26,F27),"")</f>
        <v/>
      </c>
      <c r="L27" s="2"/>
      <c r="M27" s="2"/>
      <c r="N27" s="2"/>
      <c r="O27" s="2"/>
      <c r="P27" s="2"/>
      <c r="Q27" s="2"/>
      <c r="R27" s="2"/>
      <c r="S27" s="2"/>
      <c r="U27" s="2">
        <v>5</v>
      </c>
      <c r="V27" s="87" t="s">
        <v>13</v>
      </c>
      <c r="W27" s="16"/>
      <c r="X27" s="2"/>
      <c r="Y27" s="2" t="str">
        <f>IF((K$7=V27),U27,"")</f>
        <v/>
      </c>
      <c r="Z27" s="2" t="str">
        <f>IFERROR(SMALL(Y$23:Y$26,U27),"")</f>
        <v/>
      </c>
      <c r="AA27" s="2"/>
      <c r="AB27" s="2"/>
      <c r="AC27" s="2"/>
      <c r="AD27" s="2"/>
      <c r="AE27" s="2"/>
      <c r="AF27" s="2"/>
      <c r="AG27" s="2"/>
      <c r="AH27" s="2"/>
      <c r="AI27" s="2">
        <v>5</v>
      </c>
      <c r="AJ27" s="87" t="s">
        <v>13</v>
      </c>
      <c r="AK27" s="16"/>
      <c r="AL27" s="2"/>
      <c r="AM27" s="2">
        <f>IF((L$7=AJ27),AI27,"")</f>
        <v>5</v>
      </c>
      <c r="AN27" s="2" t="str">
        <f>IFERROR(SMALL(AM$23:AM$26,AI27),"")</f>
        <v/>
      </c>
      <c r="AO27" s="2"/>
      <c r="AP27" s="2"/>
      <c r="AQ27" s="2"/>
      <c r="AR27" s="2"/>
      <c r="AS27" s="2"/>
      <c r="AT27" s="2"/>
      <c r="AU27" s="2"/>
      <c r="AW27" s="2">
        <v>5</v>
      </c>
      <c r="AX27" s="87" t="s">
        <v>13</v>
      </c>
      <c r="AY27" s="16"/>
      <c r="AZ27" s="2"/>
      <c r="BA27" s="2">
        <f>IF((M$7=AX27),AW27,"")</f>
        <v>5</v>
      </c>
      <c r="BB27" s="2" t="str">
        <f>IFERROR(SMALL(BA$23:BA$26,AW27),"")</f>
        <v/>
      </c>
      <c r="BC27" s="2"/>
      <c r="BD27" s="2"/>
      <c r="BE27" s="2"/>
      <c r="BF27" s="2"/>
      <c r="BG27" s="2"/>
      <c r="BH27" s="2"/>
      <c r="BK27" s="2">
        <v>5</v>
      </c>
      <c r="BL27" s="87" t="s">
        <v>13</v>
      </c>
      <c r="BM27" s="16"/>
      <c r="BN27" s="2"/>
      <c r="BO27" s="2">
        <f>IF((N$7=BL27),BK27,"")</f>
        <v>5</v>
      </c>
      <c r="BP27" s="2" t="str">
        <f>IFERROR(SMALL(BO$23:BO$26,BK27),"")</f>
        <v/>
      </c>
      <c r="BQ27" s="2"/>
      <c r="BR27" s="2"/>
      <c r="BS27" s="2"/>
      <c r="BT27" s="2"/>
      <c r="BU27" s="2"/>
      <c r="BV27" s="2">
        <v>5</v>
      </c>
      <c r="BW27" s="87" t="s">
        <v>13</v>
      </c>
      <c r="BX27" s="16"/>
      <c r="BY27" s="2"/>
      <c r="BZ27" s="2">
        <f>IF((O$7=BW27),BV27,"")</f>
        <v>5</v>
      </c>
      <c r="CA27" s="2" t="str">
        <f>IFERROR(SMALL(BZ$23:BZ$26,BV27),"")</f>
        <v/>
      </c>
      <c r="CB27" s="2"/>
      <c r="CC27" s="2"/>
      <c r="CD27" s="2"/>
      <c r="CE27" s="2"/>
      <c r="CF27" s="2"/>
      <c r="CG27" s="2"/>
    </row>
    <row r="28" spans="6:85">
      <c r="F28" s="2"/>
      <c r="G28" s="16" t="s">
        <v>43</v>
      </c>
      <c r="H28" s="16"/>
      <c r="I28" s="2"/>
      <c r="J28" s="2"/>
      <c r="K28" s="2"/>
      <c r="L28" s="2"/>
      <c r="M28" s="2"/>
      <c r="N28" s="2"/>
      <c r="O28" s="2"/>
      <c r="P28" s="2"/>
      <c r="Q28" s="2"/>
      <c r="R28" s="2"/>
      <c r="S28" s="2"/>
      <c r="U28" s="2"/>
      <c r="V28" s="16" t="s">
        <v>43</v>
      </c>
      <c r="W28" s="16"/>
      <c r="X28" s="2"/>
      <c r="Y28" s="2"/>
      <c r="Z28" s="2"/>
      <c r="AA28" s="2"/>
      <c r="AB28" s="2"/>
      <c r="AC28" s="2"/>
      <c r="AD28" s="2"/>
      <c r="AE28" s="2"/>
      <c r="AF28" s="2"/>
      <c r="AG28" s="2"/>
      <c r="AH28" s="2"/>
      <c r="AI28" s="2"/>
      <c r="AJ28" s="16"/>
      <c r="AK28" s="16"/>
      <c r="AL28" s="2"/>
      <c r="AM28" s="2"/>
      <c r="AN28" s="2"/>
      <c r="AO28" s="2"/>
      <c r="AP28" s="2"/>
      <c r="AQ28" s="2"/>
      <c r="AR28" s="2"/>
      <c r="AS28" s="2"/>
      <c r="AT28" s="2"/>
      <c r="AU28" s="2"/>
      <c r="AW28" s="2"/>
      <c r="AX28" s="16"/>
      <c r="AY28" s="16"/>
      <c r="AZ28" s="2"/>
      <c r="BA28" s="2"/>
      <c r="BB28" s="2"/>
      <c r="BC28" s="2"/>
      <c r="BD28" s="2"/>
      <c r="BE28" s="2"/>
      <c r="BF28" s="2"/>
      <c r="BG28" s="2"/>
      <c r="BH28" s="2"/>
      <c r="BK28" s="2"/>
      <c r="BL28" s="55" t="s">
        <v>44</v>
      </c>
      <c r="BM28" s="16"/>
      <c r="BO28" s="60" t="s">
        <v>45</v>
      </c>
      <c r="BP28" s="2"/>
      <c r="BQ28" s="55" t="s">
        <v>44</v>
      </c>
      <c r="BR28" s="16"/>
      <c r="BT28" s="60" t="s">
        <v>46</v>
      </c>
      <c r="BU28" s="2"/>
      <c r="BV28" s="2"/>
      <c r="BW28" s="55" t="s">
        <v>44</v>
      </c>
      <c r="BX28" s="16"/>
      <c r="BZ28" s="60" t="s">
        <v>45</v>
      </c>
      <c r="CA28" s="2"/>
      <c r="CB28" s="55" t="s">
        <v>44</v>
      </c>
      <c r="CC28" s="16"/>
      <c r="CE28" s="60" t="s">
        <v>46</v>
      </c>
      <c r="CF28" s="2"/>
      <c r="CG28" s="2"/>
    </row>
    <row r="29" spans="6:85">
      <c r="F29" s="2"/>
      <c r="G29" s="16"/>
      <c r="H29" s="16"/>
      <c r="I29" s="2"/>
      <c r="J29" s="2"/>
      <c r="K29" s="2"/>
      <c r="L29" s="2"/>
      <c r="M29" s="2"/>
      <c r="N29" s="2"/>
      <c r="O29" s="2"/>
      <c r="P29" s="2"/>
      <c r="Q29" s="2"/>
      <c r="R29" s="2"/>
      <c r="S29" s="2"/>
      <c r="U29" s="2"/>
      <c r="V29" s="16"/>
      <c r="W29" s="16"/>
      <c r="X29" s="2"/>
      <c r="Y29" s="2"/>
      <c r="Z29" s="2"/>
      <c r="AA29" s="2"/>
      <c r="AB29" s="2"/>
      <c r="AC29" s="2"/>
      <c r="AD29" s="2"/>
      <c r="AE29" s="2"/>
      <c r="AF29" s="2"/>
      <c r="AG29" s="2"/>
      <c r="AH29" s="2"/>
      <c r="AI29" s="2"/>
      <c r="AJ29" s="55" t="s">
        <v>44</v>
      </c>
      <c r="AK29" s="16"/>
      <c r="AM29" s="60" t="s">
        <v>45</v>
      </c>
      <c r="AN29" s="2"/>
      <c r="AO29" s="55" t="s">
        <v>44</v>
      </c>
      <c r="AP29" s="16"/>
      <c r="AR29" s="60" t="s">
        <v>46</v>
      </c>
      <c r="AS29" s="2"/>
      <c r="AT29" s="2"/>
      <c r="AU29" s="2"/>
      <c r="AW29" s="2"/>
      <c r="AX29" s="55" t="s">
        <v>44</v>
      </c>
      <c r="AY29" s="16"/>
      <c r="BA29" s="60" t="s">
        <v>45</v>
      </c>
      <c r="BB29" s="2"/>
      <c r="BC29" s="55" t="s">
        <v>44</v>
      </c>
      <c r="BD29" s="16"/>
      <c r="BF29" s="60" t="s">
        <v>46</v>
      </c>
      <c r="BG29" s="2"/>
      <c r="BH29" s="2"/>
      <c r="BK29" s="2"/>
      <c r="BL29" s="16"/>
      <c r="BM29" s="16" t="s">
        <v>40</v>
      </c>
      <c r="BN29" s="56" t="s">
        <v>40</v>
      </c>
      <c r="BO29" s="58"/>
      <c r="BP29" s="59"/>
      <c r="BQ29" s="16"/>
      <c r="BR29" s="16" t="s">
        <v>40</v>
      </c>
      <c r="BS29" s="56" t="s">
        <v>40</v>
      </c>
      <c r="BT29" s="58"/>
      <c r="BU29" s="2"/>
      <c r="BV29" s="2"/>
      <c r="BW29" s="16"/>
      <c r="BX29" s="16" t="s">
        <v>40</v>
      </c>
      <c r="BY29" s="56" t="s">
        <v>40</v>
      </c>
      <c r="BZ29" s="58"/>
      <c r="CA29" s="59"/>
      <c r="CB29" s="16"/>
      <c r="CC29" s="16" t="s">
        <v>40</v>
      </c>
      <c r="CD29" s="56" t="s">
        <v>40</v>
      </c>
      <c r="CE29" s="58"/>
      <c r="CF29" s="2"/>
      <c r="CG29" s="2"/>
    </row>
    <row r="30" spans="6:85">
      <c r="F30" s="2"/>
      <c r="G30" s="55" t="s">
        <v>44</v>
      </c>
      <c r="H30" s="16"/>
      <c r="J30" s="60" t="s">
        <v>45</v>
      </c>
      <c r="K30" s="2"/>
      <c r="L30" s="55" t="s">
        <v>44</v>
      </c>
      <c r="M30" s="16"/>
      <c r="O30" s="60" t="s">
        <v>46</v>
      </c>
      <c r="P30" s="2"/>
      <c r="Q30" s="2"/>
      <c r="R30" s="2"/>
      <c r="S30" s="2"/>
      <c r="U30" s="2"/>
      <c r="V30" s="55" t="s">
        <v>44</v>
      </c>
      <c r="W30" s="16"/>
      <c r="Y30" s="60" t="s">
        <v>45</v>
      </c>
      <c r="Z30" s="2"/>
      <c r="AA30" s="55" t="s">
        <v>44</v>
      </c>
      <c r="AB30" s="16"/>
      <c r="AD30" s="60" t="s">
        <v>46</v>
      </c>
      <c r="AE30" s="2"/>
      <c r="AF30" s="2"/>
      <c r="AG30" s="2"/>
      <c r="AH30" s="2"/>
      <c r="AI30" s="2"/>
      <c r="AJ30" s="16"/>
      <c r="AK30" s="16" t="s">
        <v>40</v>
      </c>
      <c r="AL30" s="56" t="s">
        <v>40</v>
      </c>
      <c r="AM30" s="58"/>
      <c r="AN30" s="59"/>
      <c r="AO30" s="16"/>
      <c r="AP30" s="16" t="s">
        <v>40</v>
      </c>
      <c r="AQ30" s="56" t="s">
        <v>40</v>
      </c>
      <c r="AR30" s="58"/>
      <c r="AS30" s="2"/>
      <c r="AT30" s="2"/>
      <c r="AU30" s="2"/>
      <c r="AW30" s="2"/>
      <c r="AX30" s="16"/>
      <c r="AY30" s="16" t="s">
        <v>40</v>
      </c>
      <c r="AZ30" s="56" t="s">
        <v>40</v>
      </c>
      <c r="BA30" s="58"/>
      <c r="BB30" s="59"/>
      <c r="BC30" s="16"/>
      <c r="BD30" s="16" t="s">
        <v>40</v>
      </c>
      <c r="BE30" s="56" t="s">
        <v>40</v>
      </c>
      <c r="BF30" s="58"/>
      <c r="BG30" s="2"/>
      <c r="BH30" s="2"/>
      <c r="BK30" s="2">
        <v>1</v>
      </c>
      <c r="BL30" s="2" t="s">
        <v>22</v>
      </c>
      <c r="BM30" s="16" t="str">
        <f>IF((N$9=BL30),BK30,"")</f>
        <v/>
      </c>
      <c r="BN30" s="2" t="str">
        <f>IFERROR(SMALL(BM$30:BM$38,BK30),"")</f>
        <v/>
      </c>
      <c r="BO30" s="57"/>
      <c r="BP30" s="2">
        <v>1</v>
      </c>
      <c r="BQ30" s="2" t="s">
        <v>22</v>
      </c>
      <c r="BR30" s="57" t="str">
        <f>IF((N$9=BQ30),BP30,"")</f>
        <v/>
      </c>
      <c r="BS30" s="2" t="str">
        <f>IFERROR(SMALL(BR$30:BR$36,BP30),"")</f>
        <v/>
      </c>
      <c r="BT30" s="2"/>
      <c r="BU30" s="2"/>
      <c r="BV30" s="2">
        <v>1</v>
      </c>
      <c r="BW30" s="2" t="s">
        <v>22</v>
      </c>
      <c r="BX30" s="16" t="str">
        <f>IF((O$9=BW30),BV30,"")</f>
        <v/>
      </c>
      <c r="BY30" s="2" t="str">
        <f>IFERROR(SMALL(BX$30:BX$38,BV30),"")</f>
        <v/>
      </c>
      <c r="BZ30" s="57"/>
      <c r="CA30" s="2">
        <v>1</v>
      </c>
      <c r="CB30" s="2" t="s">
        <v>22</v>
      </c>
      <c r="CC30" s="57" t="str">
        <f>IF((O$9=CB30),CA30,"")</f>
        <v/>
      </c>
      <c r="CD30" s="2" t="str">
        <f>IFERROR(SMALL(CC$30:CC$36,CA30),"")</f>
        <v/>
      </c>
      <c r="CE30" s="2"/>
      <c r="CF30" s="2"/>
      <c r="CG30" s="2"/>
    </row>
    <row r="31" spans="6:85">
      <c r="F31" s="2"/>
      <c r="G31" s="16"/>
      <c r="H31" s="16" t="s">
        <v>40</v>
      </c>
      <c r="I31" s="56" t="s">
        <v>40</v>
      </c>
      <c r="J31" s="58"/>
      <c r="K31" s="59"/>
      <c r="L31" s="16"/>
      <c r="M31" s="16" t="s">
        <v>40</v>
      </c>
      <c r="N31" s="56" t="s">
        <v>40</v>
      </c>
      <c r="O31" s="58"/>
      <c r="P31" s="2"/>
      <c r="Q31" s="2"/>
      <c r="R31" s="2"/>
      <c r="S31" s="2"/>
      <c r="U31" s="2"/>
      <c r="V31" s="16"/>
      <c r="W31" s="16" t="s">
        <v>40</v>
      </c>
      <c r="X31" s="56" t="s">
        <v>40</v>
      </c>
      <c r="Y31" s="58"/>
      <c r="Z31" s="59"/>
      <c r="AA31" s="16"/>
      <c r="AB31" s="16" t="s">
        <v>40</v>
      </c>
      <c r="AC31" s="56" t="s">
        <v>40</v>
      </c>
      <c r="AD31" s="58"/>
      <c r="AE31" s="2"/>
      <c r="AF31" s="2"/>
      <c r="AG31" s="2"/>
      <c r="AH31" s="2"/>
      <c r="AI31" s="2">
        <v>1</v>
      </c>
      <c r="AJ31" s="2" t="s">
        <v>22</v>
      </c>
      <c r="AK31" s="16" t="str">
        <f>IF((L$9=AJ31),AI31,"")</f>
        <v/>
      </c>
      <c r="AL31" s="2" t="str">
        <f>IFERROR(SMALL(AK$31:AK$39,AI31),"")</f>
        <v/>
      </c>
      <c r="AM31" s="57"/>
      <c r="AN31" s="2">
        <v>1</v>
      </c>
      <c r="AO31" s="2" t="s">
        <v>22</v>
      </c>
      <c r="AP31" s="57" t="str">
        <f>IF((L$9=AO31),AN31,"")</f>
        <v/>
      </c>
      <c r="AQ31" s="2" t="str">
        <f>IFERROR(SMALL(AP$31:AP$37,AN31),"")</f>
        <v/>
      </c>
      <c r="AR31" s="2"/>
      <c r="AS31" s="2"/>
      <c r="AT31" s="2"/>
      <c r="AU31" s="2"/>
      <c r="AW31" s="2">
        <v>1</v>
      </c>
      <c r="AX31" s="2" t="s">
        <v>22</v>
      </c>
      <c r="AY31" s="16" t="str">
        <f>IF((M$9=AX31),AW31,"")</f>
        <v/>
      </c>
      <c r="AZ31" s="2" t="str">
        <f>IFERROR(SMALL(AY$31:AY$39,AW31),"")</f>
        <v/>
      </c>
      <c r="BA31" s="57"/>
      <c r="BB31" s="2">
        <v>1</v>
      </c>
      <c r="BC31" s="2" t="s">
        <v>22</v>
      </c>
      <c r="BD31" s="57" t="str">
        <f>IF((M$9=BC31),BB31,"")</f>
        <v/>
      </c>
      <c r="BE31" s="2" t="str">
        <f>IFERROR(SMALL(BD$31:BD$37,BB31),"")</f>
        <v/>
      </c>
      <c r="BF31" s="2"/>
      <c r="BG31" s="2"/>
      <c r="BH31" s="2"/>
      <c r="BK31" s="2">
        <v>2</v>
      </c>
      <c r="BL31" s="2" t="s">
        <v>21</v>
      </c>
      <c r="BM31" s="16" t="str">
        <f>IF((N$9=BL31),BK31,"")</f>
        <v/>
      </c>
      <c r="BN31" s="2"/>
      <c r="BO31" s="57"/>
      <c r="BP31" s="60">
        <v>2</v>
      </c>
      <c r="BQ31" s="61" t="s">
        <v>21</v>
      </c>
      <c r="BR31" s="57" t="str">
        <f t="shared" ref="BR31:BR36" si="0">IF((N$9=BQ31),BP31,"")</f>
        <v/>
      </c>
      <c r="BS31" s="2" t="str">
        <f t="shared" ref="BS31:BS36" si="1">IFERROR(SMALL(BQ$33:BQ$39,BP32),"")</f>
        <v/>
      </c>
      <c r="BT31" s="2"/>
      <c r="BU31" s="2"/>
      <c r="BV31" s="2">
        <v>2</v>
      </c>
      <c r="BW31" s="2" t="s">
        <v>21</v>
      </c>
      <c r="BX31" s="16" t="str">
        <f t="shared" ref="BX31:BX38" si="2">IF((O$9=BW31),BV31,"")</f>
        <v/>
      </c>
      <c r="BY31" s="2"/>
      <c r="BZ31" s="57"/>
      <c r="CA31" s="60">
        <v>2</v>
      </c>
      <c r="CB31" s="61" t="s">
        <v>21</v>
      </c>
      <c r="CC31" s="57" t="str">
        <f t="shared" ref="CC31:CC36" si="3">IF((O$9=CB31),CA31,"")</f>
        <v/>
      </c>
      <c r="CD31" s="2" t="str">
        <f t="shared" ref="CD31:CD36" si="4">IFERROR(SMALL(CB$33:CB$39,CA32),"")</f>
        <v/>
      </c>
      <c r="CE31" s="2"/>
      <c r="CF31" s="2"/>
      <c r="CG31" s="2"/>
    </row>
    <row r="32" spans="6:85">
      <c r="F32" s="2">
        <v>1</v>
      </c>
      <c r="G32" s="2" t="s">
        <v>22</v>
      </c>
      <c r="H32" s="16" t="str">
        <f>IF((J$9=G32),F32,"")</f>
        <v/>
      </c>
      <c r="I32" s="2">
        <f>IFERROR(SMALL(H$32:H$41,F32),"")</f>
        <v>2</v>
      </c>
      <c r="J32" s="57"/>
      <c r="K32" s="2">
        <v>1</v>
      </c>
      <c r="L32" s="2" t="s">
        <v>22</v>
      </c>
      <c r="M32" s="57" t="str">
        <f>IF((J$9=L32),K32,"")</f>
        <v/>
      </c>
      <c r="N32" s="2">
        <f>IFERROR(SMALL(M$32:M$39,K32),"")</f>
        <v>2</v>
      </c>
      <c r="O32" s="2"/>
      <c r="P32" s="2"/>
      <c r="Q32" s="2"/>
      <c r="R32" s="2"/>
      <c r="S32" s="2"/>
      <c r="U32" s="2">
        <v>1</v>
      </c>
      <c r="V32" s="2" t="s">
        <v>22</v>
      </c>
      <c r="W32" s="16">
        <f>IF((K$9=V32),U32,"")</f>
        <v>1</v>
      </c>
      <c r="X32" s="2">
        <f>IFERROR(SMALL(W$32:W$41,U32),"")</f>
        <v>1</v>
      </c>
      <c r="Y32" s="57"/>
      <c r="Z32" s="2">
        <v>1</v>
      </c>
      <c r="AA32" s="2" t="s">
        <v>22</v>
      </c>
      <c r="AB32" s="57">
        <f>IF((K$9=AA32),Z32,"")</f>
        <v>1</v>
      </c>
      <c r="AC32" s="2">
        <f>IFERROR(SMALL(AB$32:AB$38,Z32),"")</f>
        <v>1</v>
      </c>
      <c r="AD32" s="2"/>
      <c r="AE32" s="2"/>
      <c r="AF32" s="2"/>
      <c r="AG32" s="2"/>
      <c r="AH32" s="2"/>
      <c r="AI32" s="2">
        <v>2</v>
      </c>
      <c r="AJ32" s="2" t="s">
        <v>21</v>
      </c>
      <c r="AK32" s="16" t="str">
        <f t="shared" ref="AK32:AK39" si="5">IF((L$9=AJ32),AI32,"")</f>
        <v/>
      </c>
      <c r="AL32" s="2"/>
      <c r="AM32" s="57"/>
      <c r="AN32" s="60">
        <v>2</v>
      </c>
      <c r="AO32" s="61" t="s">
        <v>21</v>
      </c>
      <c r="AP32" s="57" t="str">
        <f>IF((L$9=AO32),AN32,"")</f>
        <v/>
      </c>
      <c r="AQ32" s="2" t="str">
        <f t="shared" ref="AQ32:AQ37" si="6">IFERROR(SMALL(AO$33:AO$39,AN33),"")</f>
        <v/>
      </c>
      <c r="AR32" s="2"/>
      <c r="AS32" s="2"/>
      <c r="AT32" s="2"/>
      <c r="AU32" s="2"/>
      <c r="AW32" s="2">
        <v>2</v>
      </c>
      <c r="AX32" s="2" t="s">
        <v>21</v>
      </c>
      <c r="AY32" s="16" t="str">
        <f t="shared" ref="AY32:AY39" si="7">IF((M$9=AX32),AW32,"")</f>
        <v/>
      </c>
      <c r="AZ32" s="2"/>
      <c r="BA32" s="57"/>
      <c r="BB32" s="60">
        <v>2</v>
      </c>
      <c r="BC32" s="61" t="s">
        <v>21</v>
      </c>
      <c r="BD32" s="57" t="str">
        <f t="shared" ref="BD32:BD37" si="8">IF((M$9=BC32),BB32,"")</f>
        <v/>
      </c>
      <c r="BE32" s="2" t="str">
        <f t="shared" ref="BE32:BE37" si="9">IFERROR(SMALL(BC$33:BC$39,BB33),"")</f>
        <v/>
      </c>
      <c r="BF32" s="2"/>
      <c r="BG32" s="2"/>
      <c r="BH32" s="2"/>
      <c r="BK32" s="2">
        <v>3</v>
      </c>
      <c r="BL32" s="2" t="s">
        <v>47</v>
      </c>
      <c r="BM32" s="16" t="str">
        <f t="shared" ref="BM32:BM38" si="10">IF((N$9=BL32),BK32,"")</f>
        <v/>
      </c>
      <c r="BN32" s="2"/>
      <c r="BO32" s="57"/>
      <c r="BP32" s="60">
        <v>3</v>
      </c>
      <c r="BQ32" s="61" t="s">
        <v>47</v>
      </c>
      <c r="BR32" s="57" t="str">
        <f>IF((N$9=BQ32),BP32,"")</f>
        <v/>
      </c>
      <c r="BS32" s="2" t="str">
        <f t="shared" si="1"/>
        <v/>
      </c>
      <c r="BT32" s="2"/>
      <c r="BU32" s="2"/>
      <c r="BV32" s="2">
        <v>3</v>
      </c>
      <c r="BW32" s="2" t="s">
        <v>47</v>
      </c>
      <c r="BX32" s="16" t="str">
        <f t="shared" si="2"/>
        <v/>
      </c>
      <c r="BY32" s="2"/>
      <c r="BZ32" s="57"/>
      <c r="CA32" s="60">
        <v>3</v>
      </c>
      <c r="CB32" s="61" t="s">
        <v>47</v>
      </c>
      <c r="CC32" s="57" t="str">
        <f t="shared" si="3"/>
        <v/>
      </c>
      <c r="CD32" s="2" t="str">
        <f t="shared" si="4"/>
        <v/>
      </c>
      <c r="CE32" s="2"/>
      <c r="CF32" s="2"/>
      <c r="CG32" s="2"/>
    </row>
    <row r="33" spans="6:85">
      <c r="F33" s="2">
        <v>2</v>
      </c>
      <c r="G33" s="2" t="s">
        <v>21</v>
      </c>
      <c r="H33" s="16">
        <f>IF((J$9=G33),F33,"")</f>
        <v>2</v>
      </c>
      <c r="I33" s="2"/>
      <c r="J33" s="57"/>
      <c r="K33" s="60">
        <v>2</v>
      </c>
      <c r="L33" s="61" t="s">
        <v>21</v>
      </c>
      <c r="M33" s="57">
        <f t="shared" ref="M33:M39" si="11">IF((J$9=L33),K33,"")</f>
        <v>2</v>
      </c>
      <c r="N33" s="2" t="str">
        <f t="shared" ref="N33:N38" si="12">IFERROR(SMALL(L$33:L$39,K34),"")</f>
        <v/>
      </c>
      <c r="O33" s="2"/>
      <c r="P33" s="2"/>
      <c r="Q33" s="2"/>
      <c r="R33" s="2"/>
      <c r="S33" s="2"/>
      <c r="U33" s="2">
        <v>2</v>
      </c>
      <c r="V33" s="2" t="s">
        <v>21</v>
      </c>
      <c r="W33" s="16" t="str">
        <f t="shared" ref="W33:W41" si="13">IF((K$9=V33),U33,"")</f>
        <v/>
      </c>
      <c r="X33" s="2"/>
      <c r="Y33" s="57"/>
      <c r="Z33" s="60">
        <v>2</v>
      </c>
      <c r="AA33" s="61" t="s">
        <v>21</v>
      </c>
      <c r="AB33" s="57" t="str">
        <f t="shared" ref="AB33:AB39" si="14">IF((K$9=AA33),Z33,"")</f>
        <v/>
      </c>
      <c r="AC33" s="2" t="str">
        <f t="shared" ref="AC33:AC38" si="15">IFERROR(SMALL(AA$33:AA$39,Z34),"")</f>
        <v/>
      </c>
      <c r="AD33" s="2"/>
      <c r="AE33" s="2"/>
      <c r="AF33" s="2"/>
      <c r="AG33" s="2"/>
      <c r="AH33" s="2"/>
      <c r="AI33" s="2">
        <v>3</v>
      </c>
      <c r="AJ33" s="2" t="s">
        <v>47</v>
      </c>
      <c r="AK33" s="16" t="str">
        <f t="shared" si="5"/>
        <v/>
      </c>
      <c r="AL33" s="2"/>
      <c r="AM33" s="57"/>
      <c r="AN33" s="60">
        <v>3</v>
      </c>
      <c r="AO33" s="61" t="s">
        <v>47</v>
      </c>
      <c r="AP33" s="57" t="str">
        <f t="shared" ref="AP33:AP37" si="16">IF((L$9=AO33),AN33,"")</f>
        <v/>
      </c>
      <c r="AQ33" s="2" t="str">
        <f t="shared" si="6"/>
        <v/>
      </c>
      <c r="AR33" s="2"/>
      <c r="AS33" s="2"/>
      <c r="AT33" s="2"/>
      <c r="AU33" s="2"/>
      <c r="AW33" s="2">
        <v>3</v>
      </c>
      <c r="AX33" s="2" t="s">
        <v>47</v>
      </c>
      <c r="AY33" s="16" t="str">
        <f t="shared" si="7"/>
        <v/>
      </c>
      <c r="AZ33" s="2"/>
      <c r="BA33" s="57"/>
      <c r="BB33" s="60">
        <v>3</v>
      </c>
      <c r="BC33" s="61" t="s">
        <v>47</v>
      </c>
      <c r="BD33" s="57" t="str">
        <f t="shared" si="8"/>
        <v/>
      </c>
      <c r="BE33" s="2" t="str">
        <f t="shared" si="9"/>
        <v/>
      </c>
      <c r="BF33" s="2"/>
      <c r="BG33" s="2"/>
      <c r="BH33" s="2"/>
      <c r="BK33" s="2">
        <v>4</v>
      </c>
      <c r="BL33" s="2" t="s">
        <v>48</v>
      </c>
      <c r="BM33" s="16" t="str">
        <f t="shared" si="10"/>
        <v/>
      </c>
      <c r="BN33" s="2"/>
      <c r="BO33" s="57"/>
      <c r="BP33" s="60">
        <v>4</v>
      </c>
      <c r="BQ33" s="61" t="s">
        <v>48</v>
      </c>
      <c r="BR33" s="57" t="str">
        <f t="shared" si="0"/>
        <v/>
      </c>
      <c r="BS33" s="2" t="str">
        <f t="shared" si="1"/>
        <v/>
      </c>
      <c r="BT33" s="2"/>
      <c r="BU33" s="2"/>
      <c r="BV33" s="2">
        <v>4</v>
      </c>
      <c r="BW33" s="2" t="s">
        <v>48</v>
      </c>
      <c r="BX33" s="16" t="str">
        <f t="shared" si="2"/>
        <v/>
      </c>
      <c r="BY33" s="2"/>
      <c r="BZ33" s="57"/>
      <c r="CA33" s="60">
        <v>4</v>
      </c>
      <c r="CB33" s="61" t="s">
        <v>48</v>
      </c>
      <c r="CC33" s="57" t="str">
        <f t="shared" si="3"/>
        <v/>
      </c>
      <c r="CD33" s="2" t="str">
        <f t="shared" si="4"/>
        <v/>
      </c>
      <c r="CE33" s="2"/>
      <c r="CF33" s="2"/>
      <c r="CG33" s="2"/>
    </row>
    <row r="34" spans="6:85">
      <c r="F34" s="2">
        <v>3</v>
      </c>
      <c r="G34" s="2" t="s">
        <v>47</v>
      </c>
      <c r="H34" s="16" t="str">
        <f t="shared" ref="H34:H41" si="17">IF((J$9=G34),F34,"")</f>
        <v/>
      </c>
      <c r="I34" s="2"/>
      <c r="J34" s="57"/>
      <c r="K34" s="60">
        <v>3</v>
      </c>
      <c r="L34" s="61" t="s">
        <v>47</v>
      </c>
      <c r="M34" s="57" t="str">
        <f t="shared" si="11"/>
        <v/>
      </c>
      <c r="N34" s="2" t="str">
        <f t="shared" si="12"/>
        <v/>
      </c>
      <c r="O34" s="2"/>
      <c r="P34" s="2"/>
      <c r="Q34" s="2"/>
      <c r="R34" s="2"/>
      <c r="S34" s="2"/>
      <c r="U34" s="2">
        <v>3</v>
      </c>
      <c r="V34" s="2" t="s">
        <v>47</v>
      </c>
      <c r="W34" s="16" t="str">
        <f t="shared" si="13"/>
        <v/>
      </c>
      <c r="X34" s="2"/>
      <c r="Y34" s="57"/>
      <c r="Z34" s="60">
        <v>3</v>
      </c>
      <c r="AA34" s="61" t="s">
        <v>47</v>
      </c>
      <c r="AB34" s="57" t="str">
        <f t="shared" si="14"/>
        <v/>
      </c>
      <c r="AC34" s="2" t="str">
        <f t="shared" si="15"/>
        <v/>
      </c>
      <c r="AD34" s="2"/>
      <c r="AE34" s="2"/>
      <c r="AF34" s="2"/>
      <c r="AG34" s="2"/>
      <c r="AH34" s="2"/>
      <c r="AI34" s="2">
        <v>4</v>
      </c>
      <c r="AJ34" s="2" t="s">
        <v>48</v>
      </c>
      <c r="AK34" s="16" t="str">
        <f t="shared" si="5"/>
        <v/>
      </c>
      <c r="AL34" s="2"/>
      <c r="AM34" s="57"/>
      <c r="AN34" s="60">
        <v>4</v>
      </c>
      <c r="AO34" s="61" t="s">
        <v>48</v>
      </c>
      <c r="AP34" s="57" t="str">
        <f t="shared" si="16"/>
        <v/>
      </c>
      <c r="AQ34" s="2" t="str">
        <f t="shared" si="6"/>
        <v/>
      </c>
      <c r="AR34" s="2"/>
      <c r="AS34" s="2"/>
      <c r="AT34" s="2"/>
      <c r="AU34" s="2"/>
      <c r="AW34" s="2">
        <v>4</v>
      </c>
      <c r="AX34" s="2" t="s">
        <v>48</v>
      </c>
      <c r="AY34" s="16" t="str">
        <f t="shared" si="7"/>
        <v/>
      </c>
      <c r="AZ34" s="2"/>
      <c r="BA34" s="57"/>
      <c r="BB34" s="60">
        <v>4</v>
      </c>
      <c r="BC34" s="61" t="s">
        <v>48</v>
      </c>
      <c r="BD34" s="57" t="str">
        <f t="shared" si="8"/>
        <v/>
      </c>
      <c r="BE34" s="2" t="str">
        <f t="shared" si="9"/>
        <v/>
      </c>
      <c r="BF34" s="2"/>
      <c r="BG34" s="2"/>
      <c r="BH34" s="2"/>
      <c r="BK34" s="2">
        <v>5</v>
      </c>
      <c r="BL34" s="2" t="s">
        <v>49</v>
      </c>
      <c r="BM34" s="16" t="str">
        <f t="shared" si="10"/>
        <v/>
      </c>
      <c r="BN34" s="2"/>
      <c r="BO34" s="57"/>
      <c r="BP34" s="60">
        <v>5</v>
      </c>
      <c r="BQ34" s="61" t="s">
        <v>49</v>
      </c>
      <c r="BR34" s="57" t="str">
        <f t="shared" si="0"/>
        <v/>
      </c>
      <c r="BS34" s="2" t="str">
        <f t="shared" si="1"/>
        <v/>
      </c>
      <c r="BT34" s="2"/>
      <c r="BU34" s="2"/>
      <c r="BV34" s="2">
        <v>5</v>
      </c>
      <c r="BW34" s="2" t="s">
        <v>49</v>
      </c>
      <c r="BX34" s="16" t="str">
        <f t="shared" si="2"/>
        <v/>
      </c>
      <c r="BY34" s="2"/>
      <c r="BZ34" s="57"/>
      <c r="CA34" s="60">
        <v>5</v>
      </c>
      <c r="CB34" s="61" t="s">
        <v>49</v>
      </c>
      <c r="CC34" s="57" t="str">
        <f t="shared" si="3"/>
        <v/>
      </c>
      <c r="CD34" s="2" t="str">
        <f t="shared" si="4"/>
        <v/>
      </c>
      <c r="CE34" s="2"/>
      <c r="CF34" s="2"/>
      <c r="CG34" s="2"/>
    </row>
    <row r="35" spans="6:85">
      <c r="F35" s="2">
        <v>4</v>
      </c>
      <c r="G35" s="2" t="s">
        <v>48</v>
      </c>
      <c r="H35" s="16" t="str">
        <f t="shared" si="17"/>
        <v/>
      </c>
      <c r="I35" s="2"/>
      <c r="J35" s="57"/>
      <c r="K35" s="60">
        <v>4</v>
      </c>
      <c r="L35" s="61" t="s">
        <v>48</v>
      </c>
      <c r="M35" s="57" t="str">
        <f t="shared" si="11"/>
        <v/>
      </c>
      <c r="N35" s="2" t="str">
        <f t="shared" si="12"/>
        <v/>
      </c>
      <c r="O35" s="2"/>
      <c r="P35" s="2"/>
      <c r="Q35" s="2"/>
      <c r="R35" s="2"/>
      <c r="S35" s="2"/>
      <c r="U35" s="2">
        <v>4</v>
      </c>
      <c r="V35" s="2" t="s">
        <v>48</v>
      </c>
      <c r="W35" s="16" t="str">
        <f t="shared" si="13"/>
        <v/>
      </c>
      <c r="X35" s="2"/>
      <c r="Y35" s="57"/>
      <c r="Z35" s="60">
        <v>4</v>
      </c>
      <c r="AA35" s="61" t="s">
        <v>48</v>
      </c>
      <c r="AB35" s="57" t="str">
        <f t="shared" si="14"/>
        <v/>
      </c>
      <c r="AC35" s="2" t="str">
        <f t="shared" si="15"/>
        <v/>
      </c>
      <c r="AD35" s="2"/>
      <c r="AE35" s="2"/>
      <c r="AF35" s="2"/>
      <c r="AG35" s="2"/>
      <c r="AH35" s="2"/>
      <c r="AI35" s="2">
        <v>5</v>
      </c>
      <c r="AJ35" s="2" t="s">
        <v>49</v>
      </c>
      <c r="AK35" s="16" t="str">
        <f t="shared" si="5"/>
        <v/>
      </c>
      <c r="AL35" s="2"/>
      <c r="AM35" s="57"/>
      <c r="AN35" s="60">
        <v>5</v>
      </c>
      <c r="AO35" s="61" t="s">
        <v>49</v>
      </c>
      <c r="AP35" s="57" t="str">
        <f t="shared" si="16"/>
        <v/>
      </c>
      <c r="AQ35" s="2" t="str">
        <f t="shared" si="6"/>
        <v/>
      </c>
      <c r="AR35" s="2"/>
      <c r="AS35" s="2"/>
      <c r="AT35" s="2"/>
      <c r="AU35" s="2"/>
      <c r="AW35" s="2">
        <v>5</v>
      </c>
      <c r="AX35" s="2" t="s">
        <v>49</v>
      </c>
      <c r="AY35" s="16" t="str">
        <f t="shared" si="7"/>
        <v/>
      </c>
      <c r="AZ35" s="2"/>
      <c r="BA35" s="57"/>
      <c r="BB35" s="60">
        <v>5</v>
      </c>
      <c r="BC35" s="61" t="s">
        <v>49</v>
      </c>
      <c r="BD35" s="57" t="str">
        <f t="shared" si="8"/>
        <v/>
      </c>
      <c r="BE35" s="2" t="str">
        <f t="shared" si="9"/>
        <v/>
      </c>
      <c r="BF35" s="2"/>
      <c r="BG35" s="2"/>
      <c r="BH35" s="2"/>
      <c r="BK35" s="2">
        <v>6</v>
      </c>
      <c r="BL35" s="2" t="s">
        <v>50</v>
      </c>
      <c r="BM35" s="16" t="str">
        <f t="shared" si="10"/>
        <v/>
      </c>
      <c r="BN35" s="2"/>
      <c r="BO35" s="57"/>
      <c r="BP35" s="60">
        <v>6</v>
      </c>
      <c r="BQ35" s="61" t="s">
        <v>50</v>
      </c>
      <c r="BR35" s="57" t="str">
        <f t="shared" si="0"/>
        <v/>
      </c>
      <c r="BS35" s="2" t="str">
        <f t="shared" si="1"/>
        <v/>
      </c>
      <c r="BT35" s="2"/>
      <c r="BU35" s="2"/>
      <c r="BV35" s="2">
        <v>6</v>
      </c>
      <c r="BW35" s="2" t="s">
        <v>50</v>
      </c>
      <c r="BX35" s="16" t="str">
        <f t="shared" si="2"/>
        <v/>
      </c>
      <c r="BY35" s="2"/>
      <c r="BZ35" s="57"/>
      <c r="CA35" s="60">
        <v>6</v>
      </c>
      <c r="CB35" s="61" t="s">
        <v>50</v>
      </c>
      <c r="CC35" s="57" t="str">
        <f t="shared" si="3"/>
        <v/>
      </c>
      <c r="CD35" s="2" t="str">
        <f t="shared" si="4"/>
        <v/>
      </c>
      <c r="CE35" s="2"/>
      <c r="CF35" s="2"/>
      <c r="CG35" s="2"/>
    </row>
    <row r="36" spans="6:85">
      <c r="F36" s="2">
        <v>5</v>
      </c>
      <c r="G36" s="2" t="s">
        <v>49</v>
      </c>
      <c r="H36" s="16" t="str">
        <f>IF((J$9=G36),F36,"")</f>
        <v/>
      </c>
      <c r="I36" s="2"/>
      <c r="J36" s="57"/>
      <c r="K36" s="60">
        <v>5</v>
      </c>
      <c r="L36" s="61" t="s">
        <v>49</v>
      </c>
      <c r="M36" s="57" t="str">
        <f t="shared" si="11"/>
        <v/>
      </c>
      <c r="N36" s="2" t="str">
        <f t="shared" si="12"/>
        <v/>
      </c>
      <c r="O36" s="2"/>
      <c r="P36" s="2"/>
      <c r="Q36" s="2"/>
      <c r="R36" s="2"/>
      <c r="S36" s="2"/>
      <c r="U36" s="2">
        <v>5</v>
      </c>
      <c r="V36" s="2" t="s">
        <v>49</v>
      </c>
      <c r="W36" s="16" t="str">
        <f t="shared" si="13"/>
        <v/>
      </c>
      <c r="X36" s="2"/>
      <c r="Y36" s="57"/>
      <c r="Z36" s="60">
        <v>5</v>
      </c>
      <c r="AA36" s="61" t="s">
        <v>49</v>
      </c>
      <c r="AB36" s="57" t="str">
        <f t="shared" si="14"/>
        <v/>
      </c>
      <c r="AC36" s="2" t="str">
        <f t="shared" si="15"/>
        <v/>
      </c>
      <c r="AD36" s="2"/>
      <c r="AE36" s="2"/>
      <c r="AF36" s="2"/>
      <c r="AG36" s="2"/>
      <c r="AH36" s="2"/>
      <c r="AI36" s="2">
        <v>6</v>
      </c>
      <c r="AJ36" s="2" t="s">
        <v>50</v>
      </c>
      <c r="AK36" s="16" t="str">
        <f t="shared" si="5"/>
        <v/>
      </c>
      <c r="AL36" s="2"/>
      <c r="AM36" s="57"/>
      <c r="AN36" s="60">
        <v>6</v>
      </c>
      <c r="AO36" s="61" t="s">
        <v>50</v>
      </c>
      <c r="AP36" s="57" t="str">
        <f>IF((L$9=AO36),AN36,"")</f>
        <v/>
      </c>
      <c r="AQ36" s="2" t="str">
        <f t="shared" si="6"/>
        <v/>
      </c>
      <c r="AR36" s="2"/>
      <c r="AS36" s="2"/>
      <c r="AT36" s="2"/>
      <c r="AU36" s="2"/>
      <c r="AW36" s="2">
        <v>6</v>
      </c>
      <c r="AX36" s="2" t="s">
        <v>50</v>
      </c>
      <c r="AY36" s="16" t="str">
        <f t="shared" si="7"/>
        <v/>
      </c>
      <c r="AZ36" s="2"/>
      <c r="BA36" s="57"/>
      <c r="BB36" s="60">
        <v>6</v>
      </c>
      <c r="BC36" s="61" t="s">
        <v>50</v>
      </c>
      <c r="BD36" s="57" t="str">
        <f t="shared" si="8"/>
        <v/>
      </c>
      <c r="BE36" s="2" t="str">
        <f t="shared" si="9"/>
        <v/>
      </c>
      <c r="BF36" s="2"/>
      <c r="BG36" s="2"/>
      <c r="BH36" s="2"/>
      <c r="BK36" s="2">
        <v>7</v>
      </c>
      <c r="BL36" s="2" t="s">
        <v>51</v>
      </c>
      <c r="BM36" s="16" t="str">
        <f t="shared" si="10"/>
        <v/>
      </c>
      <c r="BN36" s="2"/>
      <c r="BO36" s="57"/>
      <c r="BP36" s="60">
        <v>7</v>
      </c>
      <c r="BQ36" s="61" t="s">
        <v>52</v>
      </c>
      <c r="BR36" s="57" t="str">
        <f t="shared" si="0"/>
        <v/>
      </c>
      <c r="BS36" s="2" t="str">
        <f t="shared" si="1"/>
        <v/>
      </c>
      <c r="BT36" s="2"/>
      <c r="BU36" s="2"/>
      <c r="BV36" s="2">
        <v>7</v>
      </c>
      <c r="BW36" s="2" t="s">
        <v>51</v>
      </c>
      <c r="BX36" s="16" t="str">
        <f t="shared" si="2"/>
        <v/>
      </c>
      <c r="BY36" s="2"/>
      <c r="BZ36" s="57"/>
      <c r="CA36" s="60">
        <v>7</v>
      </c>
      <c r="CB36" s="61" t="s">
        <v>52</v>
      </c>
      <c r="CC36" s="57" t="str">
        <f t="shared" si="3"/>
        <v/>
      </c>
      <c r="CD36" s="2" t="str">
        <f t="shared" si="4"/>
        <v/>
      </c>
      <c r="CE36" s="2"/>
      <c r="CF36" s="2"/>
      <c r="CG36" s="2"/>
    </row>
    <row r="37" spans="6:85">
      <c r="F37" s="2">
        <v>6</v>
      </c>
      <c r="G37" s="2" t="s">
        <v>50</v>
      </c>
      <c r="H37" s="16" t="str">
        <f t="shared" si="17"/>
        <v/>
      </c>
      <c r="I37" s="2"/>
      <c r="J37" s="57"/>
      <c r="K37" s="60">
        <v>6</v>
      </c>
      <c r="L37" s="61" t="s">
        <v>50</v>
      </c>
      <c r="M37" s="57" t="str">
        <f t="shared" si="11"/>
        <v/>
      </c>
      <c r="N37" s="2" t="str">
        <f t="shared" si="12"/>
        <v/>
      </c>
      <c r="O37" s="2"/>
      <c r="P37" s="2"/>
      <c r="Q37" s="2"/>
      <c r="R37" s="2"/>
      <c r="S37" s="2"/>
      <c r="U37" s="2">
        <v>6</v>
      </c>
      <c r="V37" s="2" t="s">
        <v>50</v>
      </c>
      <c r="W37" s="16" t="str">
        <f t="shared" si="13"/>
        <v/>
      </c>
      <c r="X37" s="2"/>
      <c r="Y37" s="57"/>
      <c r="Z37" s="60">
        <v>6</v>
      </c>
      <c r="AA37" s="61" t="s">
        <v>50</v>
      </c>
      <c r="AB37" s="57" t="str">
        <f t="shared" si="14"/>
        <v/>
      </c>
      <c r="AC37" s="2" t="str">
        <f t="shared" si="15"/>
        <v/>
      </c>
      <c r="AD37" s="2"/>
      <c r="AE37" s="2"/>
      <c r="AF37" s="2"/>
      <c r="AG37" s="2"/>
      <c r="AH37" s="2"/>
      <c r="AI37" s="2">
        <v>7</v>
      </c>
      <c r="AJ37" s="2" t="s">
        <v>51</v>
      </c>
      <c r="AK37" s="16" t="str">
        <f>IF((L$9=AJ37),AI37,"")</f>
        <v/>
      </c>
      <c r="AL37" s="2"/>
      <c r="AM37" s="57"/>
      <c r="AN37" s="60">
        <v>7</v>
      </c>
      <c r="AO37" s="61" t="s">
        <v>52</v>
      </c>
      <c r="AP37" s="57" t="str">
        <f t="shared" si="16"/>
        <v/>
      </c>
      <c r="AQ37" s="2" t="str">
        <f t="shared" si="6"/>
        <v/>
      </c>
      <c r="AR37" s="2"/>
      <c r="AS37" s="2"/>
      <c r="AT37" s="2"/>
      <c r="AU37" s="2"/>
      <c r="AW37" s="2">
        <v>7</v>
      </c>
      <c r="AX37" s="2" t="s">
        <v>51</v>
      </c>
      <c r="AY37" s="16" t="str">
        <f t="shared" si="7"/>
        <v/>
      </c>
      <c r="AZ37" s="2"/>
      <c r="BA37" s="57"/>
      <c r="BB37" s="60">
        <v>7</v>
      </c>
      <c r="BC37" s="61" t="s">
        <v>52</v>
      </c>
      <c r="BD37" s="57" t="str">
        <f t="shared" si="8"/>
        <v/>
      </c>
      <c r="BE37" s="2" t="str">
        <f t="shared" si="9"/>
        <v/>
      </c>
      <c r="BF37" s="2"/>
      <c r="BG37" s="2"/>
      <c r="BH37" s="2"/>
      <c r="BK37" s="2">
        <v>8</v>
      </c>
      <c r="BL37" s="2" t="s">
        <v>53</v>
      </c>
      <c r="BM37" s="16" t="str">
        <f t="shared" si="10"/>
        <v/>
      </c>
      <c r="BN37" s="2"/>
      <c r="BO37" s="57"/>
      <c r="BP37" s="60"/>
      <c r="BQ37" s="61"/>
      <c r="BR37" s="57"/>
      <c r="BS37" s="2"/>
      <c r="BT37" s="2"/>
      <c r="BU37" s="2"/>
      <c r="BV37" s="2">
        <v>8</v>
      </c>
      <c r="BW37" s="2" t="s">
        <v>53</v>
      </c>
      <c r="BX37" s="16" t="str">
        <f t="shared" si="2"/>
        <v/>
      </c>
      <c r="BY37" s="2"/>
      <c r="BZ37" s="57"/>
      <c r="CA37" s="60"/>
      <c r="CB37" s="61"/>
      <c r="CC37" s="57"/>
      <c r="CD37" s="2"/>
      <c r="CE37" s="2"/>
      <c r="CF37" s="2"/>
      <c r="CG37" s="2"/>
    </row>
    <row r="38" spans="6:85">
      <c r="F38" s="2">
        <v>7</v>
      </c>
      <c r="G38" s="2" t="s">
        <v>51</v>
      </c>
      <c r="H38" s="16" t="str">
        <f t="shared" si="17"/>
        <v/>
      </c>
      <c r="I38" s="2"/>
      <c r="J38" s="57"/>
      <c r="K38" s="60">
        <v>7</v>
      </c>
      <c r="L38" s="61" t="s">
        <v>52</v>
      </c>
      <c r="M38" s="57" t="str">
        <f t="shared" si="11"/>
        <v/>
      </c>
      <c r="N38" s="2" t="str">
        <f t="shared" si="12"/>
        <v/>
      </c>
      <c r="O38" s="2"/>
      <c r="P38" s="2"/>
      <c r="Q38" s="2"/>
      <c r="R38" s="2"/>
      <c r="S38" s="2"/>
      <c r="U38" s="2">
        <v>7</v>
      </c>
      <c r="V38" s="2" t="s">
        <v>51</v>
      </c>
      <c r="W38" s="16" t="str">
        <f t="shared" si="13"/>
        <v/>
      </c>
      <c r="X38" s="2"/>
      <c r="Y38" s="57"/>
      <c r="Z38" s="60">
        <v>7</v>
      </c>
      <c r="AA38" s="61" t="s">
        <v>52</v>
      </c>
      <c r="AB38" s="57" t="str">
        <f t="shared" si="14"/>
        <v/>
      </c>
      <c r="AC38" s="2" t="str">
        <f t="shared" si="15"/>
        <v/>
      </c>
      <c r="AD38" s="2"/>
      <c r="AE38" s="2"/>
      <c r="AF38" s="2"/>
      <c r="AG38" s="2"/>
      <c r="AH38" s="2"/>
      <c r="AI38" s="2">
        <v>8</v>
      </c>
      <c r="AJ38" s="2" t="s">
        <v>53</v>
      </c>
      <c r="AK38" s="16" t="str">
        <f t="shared" si="5"/>
        <v/>
      </c>
      <c r="AL38" s="2"/>
      <c r="AM38" s="57"/>
      <c r="AN38" s="60"/>
      <c r="AO38" s="61"/>
      <c r="AP38" s="57"/>
      <c r="AQ38" s="2"/>
      <c r="AR38" s="2"/>
      <c r="AS38" s="2"/>
      <c r="AT38" s="2"/>
      <c r="AU38" s="2"/>
      <c r="AW38" s="2">
        <v>8</v>
      </c>
      <c r="AX38" s="2" t="s">
        <v>53</v>
      </c>
      <c r="AY38" s="16" t="str">
        <f>IF((M$9=AX38),AW38,"")</f>
        <v/>
      </c>
      <c r="AZ38" s="2"/>
      <c r="BA38" s="57"/>
      <c r="BB38" s="60"/>
      <c r="BC38" s="61"/>
      <c r="BD38" s="57"/>
      <c r="BE38" s="2"/>
      <c r="BF38" s="2"/>
      <c r="BG38" s="2"/>
      <c r="BH38" s="2"/>
      <c r="BK38" s="2">
        <v>9</v>
      </c>
      <c r="BL38" s="2" t="s">
        <v>54</v>
      </c>
      <c r="BM38" s="16" t="str">
        <f t="shared" si="10"/>
        <v/>
      </c>
      <c r="BN38" s="2"/>
      <c r="BO38" s="57"/>
      <c r="BP38" s="57"/>
      <c r="BQ38" s="57"/>
      <c r="BR38" s="57"/>
      <c r="BS38" s="2"/>
      <c r="BT38" s="2"/>
      <c r="BU38" s="2"/>
      <c r="BV38" s="2">
        <v>9</v>
      </c>
      <c r="BW38" s="2" t="s">
        <v>54</v>
      </c>
      <c r="BX38" s="16" t="str">
        <f t="shared" si="2"/>
        <v/>
      </c>
      <c r="BY38" s="2"/>
      <c r="BZ38" s="57"/>
      <c r="CA38" s="57"/>
      <c r="CB38" s="57"/>
      <c r="CC38" s="57"/>
      <c r="CD38" s="2"/>
      <c r="CE38" s="2"/>
      <c r="CF38" s="2"/>
      <c r="CG38" s="2"/>
    </row>
    <row r="39" spans="6:85">
      <c r="F39" s="2">
        <v>8</v>
      </c>
      <c r="G39" s="2" t="s">
        <v>53</v>
      </c>
      <c r="H39" s="16" t="str">
        <f t="shared" si="17"/>
        <v/>
      </c>
      <c r="I39" s="2"/>
      <c r="J39" s="57"/>
      <c r="K39" s="60">
        <v>8</v>
      </c>
      <c r="L39" s="86" t="s">
        <v>13</v>
      </c>
      <c r="M39" s="57" t="str">
        <f t="shared" si="11"/>
        <v/>
      </c>
      <c r="N39" s="2"/>
      <c r="O39" s="2"/>
      <c r="P39" s="2"/>
      <c r="Q39" s="2"/>
      <c r="R39" s="2"/>
      <c r="S39" s="2"/>
      <c r="U39" s="2">
        <v>8</v>
      </c>
      <c r="V39" s="2" t="s">
        <v>53</v>
      </c>
      <c r="W39" s="16" t="str">
        <f t="shared" si="13"/>
        <v/>
      </c>
      <c r="X39" s="2"/>
      <c r="Y39" s="57"/>
      <c r="Z39" s="60">
        <v>8</v>
      </c>
      <c r="AA39" s="86" t="s">
        <v>13</v>
      </c>
      <c r="AB39" s="57" t="str">
        <f t="shared" si="14"/>
        <v/>
      </c>
      <c r="AC39" s="2"/>
      <c r="AD39" s="2"/>
      <c r="AE39" s="2"/>
      <c r="AF39" s="2"/>
      <c r="AG39" s="2"/>
      <c r="AH39" s="2"/>
      <c r="AI39" s="2">
        <v>9</v>
      </c>
      <c r="AJ39" s="2" t="s">
        <v>54</v>
      </c>
      <c r="AK39" s="16" t="str">
        <f t="shared" si="5"/>
        <v/>
      </c>
      <c r="AL39" s="2"/>
      <c r="AM39" s="57"/>
      <c r="AN39" s="57"/>
      <c r="AO39" s="57"/>
      <c r="AP39" s="57"/>
      <c r="AQ39" s="2"/>
      <c r="AR39" s="2"/>
      <c r="AS39" s="2"/>
      <c r="AT39" s="2"/>
      <c r="AU39" s="2"/>
      <c r="AW39" s="2">
        <v>9</v>
      </c>
      <c r="AX39" s="2" t="s">
        <v>54</v>
      </c>
      <c r="AY39" s="16" t="str">
        <f t="shared" si="7"/>
        <v/>
      </c>
      <c r="AZ39" s="2"/>
      <c r="BA39" s="57"/>
      <c r="BB39" s="57"/>
      <c r="BC39" s="57"/>
      <c r="BD39" s="57"/>
      <c r="BE39" s="2"/>
      <c r="BF39" s="2"/>
      <c r="BG39" s="2"/>
      <c r="BH39" s="2"/>
      <c r="BK39" s="2"/>
      <c r="BL39" s="16"/>
      <c r="BM39" s="16"/>
      <c r="BN39" s="2"/>
      <c r="BO39" s="2"/>
      <c r="BP39" s="2"/>
      <c r="BQ39" s="2"/>
      <c r="BR39" s="2"/>
      <c r="BS39" s="2"/>
      <c r="BT39" s="2"/>
      <c r="BU39" s="2"/>
      <c r="BV39" s="2"/>
      <c r="BW39" s="16"/>
      <c r="BX39" s="16"/>
      <c r="BY39" s="2"/>
      <c r="BZ39" s="2"/>
      <c r="CA39" s="2"/>
      <c r="CB39" s="2"/>
      <c r="CC39" s="2"/>
      <c r="CD39" s="2"/>
      <c r="CE39" s="2"/>
      <c r="CF39" s="2"/>
      <c r="CG39" s="2"/>
    </row>
    <row r="40" spans="6:85">
      <c r="F40" s="2">
        <v>9</v>
      </c>
      <c r="G40" s="2" t="s">
        <v>54</v>
      </c>
      <c r="H40" s="16" t="str">
        <f t="shared" si="17"/>
        <v/>
      </c>
      <c r="I40" s="2"/>
      <c r="J40" s="57"/>
      <c r="K40" s="57"/>
      <c r="L40" s="57"/>
      <c r="M40" s="57"/>
      <c r="N40" s="2"/>
      <c r="O40" s="2"/>
      <c r="P40" s="2"/>
      <c r="Q40" s="2"/>
      <c r="R40" s="2"/>
      <c r="S40" s="2"/>
      <c r="U40" s="2">
        <v>9</v>
      </c>
      <c r="V40" s="2" t="s">
        <v>54</v>
      </c>
      <c r="W40" s="16" t="str">
        <f t="shared" si="13"/>
        <v/>
      </c>
      <c r="X40" s="2"/>
      <c r="Y40" s="57"/>
      <c r="Z40" s="57"/>
      <c r="AA40" s="57"/>
      <c r="AB40" s="57"/>
      <c r="AC40" s="2"/>
      <c r="AD40" s="2"/>
      <c r="AE40" s="2"/>
      <c r="AF40" s="2"/>
      <c r="AG40" s="2"/>
      <c r="AH40" s="2"/>
      <c r="AI40" s="2"/>
      <c r="AJ40" s="16"/>
      <c r="AK40" s="16"/>
      <c r="AL40" s="2"/>
      <c r="AM40" s="2"/>
      <c r="AN40" s="2"/>
      <c r="AO40" s="2"/>
      <c r="AP40" s="2"/>
      <c r="AQ40" s="2"/>
      <c r="AR40" s="2"/>
      <c r="AS40" s="2"/>
      <c r="AT40" s="2"/>
      <c r="AU40" s="2"/>
      <c r="AW40" s="2"/>
      <c r="AX40" s="16"/>
      <c r="AY40" s="16"/>
      <c r="AZ40" s="2"/>
      <c r="BA40" s="2"/>
      <c r="BB40" s="2"/>
      <c r="BC40" s="2"/>
      <c r="BD40" s="2"/>
      <c r="BE40" s="2"/>
      <c r="BF40" s="2"/>
      <c r="BG40" s="2"/>
      <c r="BH40" s="2"/>
      <c r="BK40" s="2"/>
      <c r="BL40" s="16"/>
      <c r="BM40" s="16"/>
      <c r="BN40" s="2"/>
      <c r="BO40" s="2"/>
      <c r="BP40" s="2"/>
      <c r="BQ40" s="2"/>
      <c r="BR40" s="2"/>
      <c r="BS40" s="2"/>
      <c r="BT40" s="2"/>
      <c r="BU40" s="2"/>
      <c r="BV40" s="2"/>
      <c r="BW40" s="16"/>
      <c r="BX40" s="16"/>
      <c r="BY40" s="2"/>
      <c r="BZ40" s="2"/>
      <c r="CA40" s="2"/>
      <c r="CB40" s="2"/>
      <c r="CC40" s="2"/>
      <c r="CD40" s="2"/>
      <c r="CE40" s="2"/>
      <c r="CF40" s="2"/>
      <c r="CG40" s="2"/>
    </row>
    <row r="41" spans="6:85">
      <c r="F41" s="2">
        <v>10</v>
      </c>
      <c r="G41" s="17" t="s">
        <v>13</v>
      </c>
      <c r="H41" s="16" t="str">
        <f t="shared" si="17"/>
        <v/>
      </c>
      <c r="I41" s="2"/>
      <c r="J41" s="2"/>
      <c r="K41" s="2"/>
      <c r="L41" s="2"/>
      <c r="M41" s="2"/>
      <c r="N41" s="2"/>
      <c r="O41" s="2"/>
      <c r="P41" s="2"/>
      <c r="Q41" s="2"/>
      <c r="R41" s="2"/>
      <c r="S41" s="2"/>
      <c r="U41" s="2">
        <v>10</v>
      </c>
      <c r="V41" s="17" t="s">
        <v>13</v>
      </c>
      <c r="W41" s="16" t="str">
        <f t="shared" si="13"/>
        <v/>
      </c>
      <c r="X41" s="2"/>
      <c r="Y41" s="2"/>
      <c r="Z41" s="2"/>
      <c r="AA41" s="2"/>
      <c r="AB41" s="2"/>
      <c r="AC41" s="2"/>
      <c r="AD41" s="2"/>
      <c r="AE41" s="2"/>
      <c r="AF41" s="2"/>
      <c r="AG41" s="2"/>
      <c r="AH41" s="2"/>
      <c r="AI41" s="2"/>
      <c r="AJ41" s="2"/>
      <c r="AK41" s="2"/>
      <c r="AL41" s="2"/>
      <c r="AM41" s="2"/>
      <c r="AN41" s="2"/>
      <c r="AO41" s="2"/>
      <c r="AP41" s="2"/>
      <c r="AQ41" s="2"/>
      <c r="AR41" s="2"/>
      <c r="AS41" s="2"/>
      <c r="AT41" s="2"/>
      <c r="AU41" s="2"/>
      <c r="AW41" s="2"/>
      <c r="AX41" s="2"/>
      <c r="AY41" s="2"/>
      <c r="AZ41" s="2"/>
      <c r="BA41" s="2"/>
      <c r="BB41" s="2"/>
      <c r="BC41" s="2"/>
      <c r="BD41" s="2"/>
      <c r="BE41" s="2"/>
      <c r="BF41" s="2"/>
      <c r="BG41" s="2"/>
      <c r="BH41" s="2"/>
      <c r="BK41" s="2"/>
      <c r="BL41" s="2"/>
      <c r="BM41" s="2"/>
      <c r="BN41" s="2"/>
      <c r="BO41" s="2"/>
      <c r="BP41" s="2"/>
      <c r="BQ41" s="2"/>
      <c r="BR41" s="2"/>
      <c r="BS41" s="2"/>
      <c r="BT41" s="2"/>
      <c r="BU41" s="2"/>
      <c r="BV41" s="2"/>
      <c r="BW41" s="2"/>
      <c r="BX41" s="2"/>
      <c r="BY41" s="2"/>
      <c r="BZ41" s="2"/>
      <c r="CA41" s="2"/>
      <c r="CB41" s="2"/>
      <c r="CC41" s="2"/>
      <c r="CD41" s="2"/>
      <c r="CE41" s="2"/>
      <c r="CF41" s="2"/>
      <c r="CG41" s="2"/>
    </row>
    <row r="42" spans="6:85">
      <c r="F42" s="2"/>
      <c r="G42" s="2"/>
      <c r="H42" s="2"/>
      <c r="I42" s="2"/>
      <c r="J42" s="2"/>
      <c r="K42" s="2"/>
      <c r="L42" s="2"/>
      <c r="M42" s="2"/>
      <c r="N42" s="2"/>
      <c r="O42" s="2"/>
      <c r="P42" s="2"/>
      <c r="Q42" s="2"/>
      <c r="R42" s="2"/>
      <c r="S42" s="2"/>
      <c r="U42" s="2"/>
      <c r="V42" s="2"/>
      <c r="W42" s="2"/>
      <c r="X42" s="2"/>
      <c r="Y42" s="2"/>
      <c r="Z42" s="2"/>
      <c r="AA42" s="2"/>
      <c r="AB42" s="2"/>
      <c r="AC42" s="2"/>
      <c r="AD42" s="2"/>
      <c r="AE42" s="2"/>
      <c r="AF42" s="2"/>
      <c r="AG42" s="2"/>
      <c r="AH42" s="2"/>
      <c r="AI42" s="2"/>
      <c r="AJ42" s="2"/>
      <c r="AK42" s="2"/>
      <c r="AL42" s="2"/>
      <c r="AM42" s="2"/>
      <c r="AN42" s="2"/>
      <c r="AO42" s="2"/>
      <c r="AP42" s="2"/>
      <c r="AQ42" s="2"/>
      <c r="AR42" s="2"/>
      <c r="AS42" s="2"/>
      <c r="AT42" s="2"/>
      <c r="AU42" s="2"/>
      <c r="AW42" s="2"/>
      <c r="AX42" s="2"/>
      <c r="AY42" s="2"/>
      <c r="AZ42" s="2"/>
      <c r="BA42" s="2"/>
      <c r="BB42" s="2"/>
      <c r="BC42" s="2"/>
      <c r="BD42" s="2"/>
      <c r="BE42" s="2"/>
      <c r="BF42" s="2"/>
      <c r="BG42" s="2"/>
      <c r="BH42" s="2"/>
      <c r="BK42" s="2"/>
      <c r="BL42" s="2"/>
      <c r="BM42" s="2"/>
      <c r="BN42" s="2"/>
      <c r="BO42" s="2"/>
      <c r="BP42" s="2"/>
      <c r="BQ42" s="2"/>
      <c r="BR42" s="2"/>
      <c r="BS42" s="2"/>
      <c r="BT42" s="2"/>
      <c r="BU42" s="2"/>
      <c r="BV42" s="2"/>
      <c r="BW42" s="2"/>
      <c r="BX42" s="2"/>
      <c r="BY42" s="2"/>
      <c r="BZ42" s="2"/>
      <c r="CA42" s="2"/>
      <c r="CB42" s="2"/>
      <c r="CC42" s="2"/>
      <c r="CD42" s="2"/>
      <c r="CE42" s="2"/>
      <c r="CF42" s="2"/>
      <c r="CG42" s="2"/>
    </row>
    <row r="43" spans="6:85">
      <c r="F43" s="2"/>
      <c r="G43" s="2"/>
      <c r="H43" s="2"/>
      <c r="I43" s="2"/>
      <c r="J43" s="2"/>
      <c r="K43" s="2"/>
      <c r="L43" s="2"/>
      <c r="M43" s="2"/>
      <c r="N43" s="2"/>
      <c r="O43" s="2"/>
      <c r="P43" s="2"/>
      <c r="Q43" s="2"/>
      <c r="R43" s="2"/>
      <c r="S43" s="2"/>
      <c r="U43" s="2"/>
      <c r="V43" s="2"/>
      <c r="W43" s="2"/>
      <c r="X43" s="2"/>
      <c r="Y43" s="2"/>
      <c r="Z43" s="2"/>
      <c r="AA43" s="2"/>
      <c r="AB43" s="2"/>
      <c r="AC43" s="2"/>
      <c r="AD43" s="2"/>
      <c r="AE43" s="2"/>
      <c r="AF43" s="2"/>
      <c r="AG43" s="2"/>
      <c r="AH43" s="2"/>
      <c r="AI43" s="2"/>
      <c r="AJ43" s="2"/>
      <c r="AK43" s="2"/>
      <c r="AL43" s="2"/>
      <c r="AM43" s="2"/>
      <c r="AN43" s="2"/>
      <c r="AO43" s="2"/>
      <c r="AP43" s="2"/>
      <c r="AQ43" s="2"/>
      <c r="AR43" s="2"/>
      <c r="AS43" s="2"/>
      <c r="AT43" s="2"/>
      <c r="AU43" s="2"/>
      <c r="AW43" s="2"/>
      <c r="AX43" s="2"/>
      <c r="AY43" s="2"/>
      <c r="AZ43" s="2"/>
      <c r="BA43" s="2"/>
      <c r="BB43" s="2"/>
      <c r="BC43" s="2"/>
      <c r="BD43" s="2"/>
      <c r="BE43" s="2"/>
      <c r="BF43" s="2"/>
      <c r="BG43" s="2"/>
      <c r="BH43" s="2"/>
      <c r="BK43" s="2"/>
      <c r="BL43" s="2"/>
      <c r="BM43" s="2"/>
      <c r="BN43" s="2"/>
      <c r="BO43" s="2"/>
      <c r="BP43" s="2"/>
      <c r="BQ43" s="2"/>
      <c r="BR43" s="2"/>
      <c r="BS43" s="2"/>
      <c r="BT43" s="2"/>
      <c r="BU43" s="2"/>
      <c r="BV43" s="2"/>
      <c r="BW43" s="2"/>
      <c r="BX43" s="2"/>
      <c r="BY43" s="2"/>
      <c r="BZ43" s="2"/>
      <c r="CA43" s="2"/>
      <c r="CB43" s="2"/>
      <c r="CC43" s="2"/>
      <c r="CD43" s="2"/>
      <c r="CE43" s="2"/>
      <c r="CF43" s="2"/>
      <c r="CG43" s="2"/>
    </row>
    <row r="44" spans="6:85">
      <c r="F44" s="2"/>
      <c r="G44" s="12"/>
      <c r="H44" s="2" t="s">
        <v>55</v>
      </c>
      <c r="I44" s="2"/>
      <c r="J44" s="2"/>
      <c r="K44" s="2"/>
      <c r="L44" s="2"/>
      <c r="M44" s="2"/>
      <c r="N44" s="2"/>
      <c r="O44" s="2"/>
      <c r="P44" s="2"/>
      <c r="Q44" s="2"/>
      <c r="R44" s="2"/>
      <c r="S44" s="2"/>
      <c r="U44" s="2"/>
      <c r="V44" s="12"/>
      <c r="W44" s="2" t="s">
        <v>55</v>
      </c>
      <c r="X44" s="2"/>
      <c r="Y44" s="2"/>
      <c r="Z44" s="2"/>
      <c r="AA44" s="2"/>
      <c r="AB44" s="2"/>
      <c r="AC44" s="2"/>
      <c r="AD44" s="2"/>
      <c r="AE44" s="2"/>
      <c r="AF44" s="2"/>
      <c r="AG44" s="2"/>
      <c r="AH44" s="2"/>
      <c r="AI44" s="2"/>
      <c r="AJ44" s="12"/>
      <c r="AK44" s="2" t="s">
        <v>55</v>
      </c>
      <c r="AL44" s="2"/>
      <c r="AM44" s="2"/>
      <c r="AN44" s="2"/>
      <c r="AO44" s="2"/>
      <c r="AP44" s="2"/>
      <c r="AQ44" s="2"/>
      <c r="AR44" s="2"/>
      <c r="AS44" s="2"/>
      <c r="AT44" s="2"/>
      <c r="AU44" s="2"/>
      <c r="AW44" s="2"/>
      <c r="AX44" s="12"/>
      <c r="AY44" s="2" t="s">
        <v>55</v>
      </c>
      <c r="AZ44" s="2"/>
      <c r="BA44" s="2"/>
      <c r="BB44" s="2"/>
      <c r="BC44" s="2"/>
      <c r="BD44" s="2"/>
      <c r="BE44" s="2"/>
      <c r="BF44" s="2"/>
      <c r="BG44" s="2"/>
      <c r="BH44" s="2"/>
      <c r="BK44" s="2"/>
      <c r="BL44" s="12"/>
      <c r="BM44" s="2" t="s">
        <v>55</v>
      </c>
      <c r="BN44" s="2"/>
      <c r="BO44" s="2"/>
      <c r="BP44" s="2"/>
      <c r="BQ44" s="2"/>
      <c r="BR44" s="2"/>
      <c r="BS44" s="2"/>
      <c r="BT44" s="2"/>
      <c r="BU44" s="2"/>
      <c r="BV44" s="2"/>
      <c r="BW44" s="12"/>
      <c r="BX44" s="2" t="s">
        <v>55</v>
      </c>
      <c r="BY44" s="2"/>
      <c r="BZ44" s="2"/>
      <c r="CA44" s="2"/>
      <c r="CB44" s="2"/>
      <c r="CC44" s="2"/>
      <c r="CD44" s="2"/>
      <c r="CE44" s="2"/>
      <c r="CF44" s="2"/>
      <c r="CG44" s="2"/>
    </row>
    <row r="45" spans="6:85">
      <c r="F45" s="2"/>
      <c r="G45" s="12" t="s">
        <v>56</v>
      </c>
      <c r="H45" s="12" t="s">
        <v>57</v>
      </c>
      <c r="I45" s="2" t="s">
        <v>58</v>
      </c>
      <c r="J45" s="2" t="s">
        <v>58</v>
      </c>
      <c r="K45" s="12" t="s">
        <v>59</v>
      </c>
      <c r="L45" s="2" t="s">
        <v>60</v>
      </c>
      <c r="M45" s="2" t="s">
        <v>61</v>
      </c>
      <c r="N45" s="2" t="s">
        <v>62</v>
      </c>
      <c r="O45" s="2"/>
      <c r="P45" s="2"/>
      <c r="Q45" s="2"/>
      <c r="R45" s="2"/>
      <c r="S45" s="2"/>
      <c r="U45" s="2"/>
      <c r="V45" s="12" t="s">
        <v>56</v>
      </c>
      <c r="W45" s="12" t="s">
        <v>57</v>
      </c>
      <c r="X45" s="2" t="s">
        <v>58</v>
      </c>
      <c r="Y45" s="2" t="s">
        <v>58</v>
      </c>
      <c r="Z45" s="12" t="s">
        <v>59</v>
      </c>
      <c r="AA45" s="2" t="s">
        <v>60</v>
      </c>
      <c r="AB45" s="2" t="s">
        <v>61</v>
      </c>
      <c r="AC45" s="2" t="s">
        <v>62</v>
      </c>
      <c r="AD45" s="2"/>
      <c r="AE45" s="2"/>
      <c r="AF45" s="2"/>
      <c r="AG45" s="2"/>
      <c r="AH45" s="2"/>
      <c r="AI45" s="2"/>
      <c r="AJ45" s="12" t="s">
        <v>56</v>
      </c>
      <c r="AK45" s="12" t="s">
        <v>57</v>
      </c>
      <c r="AL45" s="2" t="s">
        <v>58</v>
      </c>
      <c r="AM45" s="2" t="s">
        <v>58</v>
      </c>
      <c r="AN45" s="12" t="s">
        <v>59</v>
      </c>
      <c r="AO45" s="2" t="s">
        <v>60</v>
      </c>
      <c r="AP45" s="2" t="s">
        <v>61</v>
      </c>
      <c r="AQ45" s="2" t="s">
        <v>62</v>
      </c>
      <c r="AR45" s="2"/>
      <c r="AS45" s="2"/>
      <c r="AT45" s="2"/>
      <c r="AU45" s="2"/>
      <c r="AW45" s="2"/>
      <c r="AX45" s="12" t="s">
        <v>56</v>
      </c>
      <c r="AY45" s="12" t="s">
        <v>57</v>
      </c>
      <c r="AZ45" s="2" t="s">
        <v>58</v>
      </c>
      <c r="BA45" s="2" t="s">
        <v>58</v>
      </c>
      <c r="BB45" s="12" t="s">
        <v>59</v>
      </c>
      <c r="BC45" s="2" t="s">
        <v>60</v>
      </c>
      <c r="BD45" s="2" t="s">
        <v>61</v>
      </c>
      <c r="BE45" s="2" t="s">
        <v>62</v>
      </c>
      <c r="BF45" s="2"/>
      <c r="BG45" s="2"/>
      <c r="BH45" s="2"/>
      <c r="BK45" s="2"/>
      <c r="BL45" s="12" t="s">
        <v>56</v>
      </c>
      <c r="BM45" s="12" t="s">
        <v>57</v>
      </c>
      <c r="BN45" s="2" t="s">
        <v>58</v>
      </c>
      <c r="BO45" s="2" t="s">
        <v>58</v>
      </c>
      <c r="BP45" s="12" t="s">
        <v>59</v>
      </c>
      <c r="BQ45" s="2" t="s">
        <v>60</v>
      </c>
      <c r="BR45" s="2" t="s">
        <v>61</v>
      </c>
      <c r="BS45" s="2" t="s">
        <v>62</v>
      </c>
      <c r="BT45" s="2"/>
      <c r="BU45" s="2"/>
      <c r="BV45" s="2"/>
      <c r="BW45" s="12" t="s">
        <v>56</v>
      </c>
      <c r="BX45" s="12" t="s">
        <v>57</v>
      </c>
      <c r="BY45" s="2" t="s">
        <v>58</v>
      </c>
      <c r="BZ45" s="2" t="s">
        <v>58</v>
      </c>
      <c r="CA45" s="12" t="s">
        <v>59</v>
      </c>
      <c r="CB45" s="2" t="s">
        <v>60</v>
      </c>
      <c r="CC45" s="2" t="s">
        <v>61</v>
      </c>
      <c r="CD45" s="2" t="s">
        <v>62</v>
      </c>
      <c r="CE45" s="2"/>
      <c r="CF45" s="2"/>
      <c r="CG45" s="2"/>
    </row>
    <row r="46" spans="6:85">
      <c r="F46" s="2">
        <v>1</v>
      </c>
      <c r="G46" s="3" t="s">
        <v>63</v>
      </c>
      <c r="H46" s="62">
        <f>IF(I32=2,0.0922,IF(I32=3,0.1043,IF(I32=4,0.0342,IF(I32=5,0.0341,IF(I32=6,0.0123,IF(I32=7,0.0123,IF(I32=8,0.0123,IF(I32=9,0.0123,IF(I32=1,0.03533,"")))))))))</f>
        <v>9.2200000000000004E-2</v>
      </c>
      <c r="I46" s="3" t="str">
        <f>IF((J$8=G46),F46,"")</f>
        <v/>
      </c>
      <c r="J46" s="3">
        <f>IFERROR(SMALL(I$46:I$51,F46),"")</f>
        <v>2</v>
      </c>
      <c r="K46" s="3">
        <f>IF(I32=1, 64.25, IF(I32=2, 69.333, IF(I32=3, 69.333, IF(I32=4, 69.333, IF(I32=5, 64.25, IF(I32=6,64.25, IF(I32=7,64.25, IF(I32=8, 64.25, IF(I32=9, 64.25,"")))))))))</f>
        <v>69.332999999999998</v>
      </c>
      <c r="L46" s="3" t="b">
        <f>IF(J$46=F46,J$10*(K46*H46))</f>
        <v>0</v>
      </c>
      <c r="M46" s="3" t="b">
        <f>IF(J$46=F46,J$11*(K46*H46))</f>
        <v>0</v>
      </c>
      <c r="N46" s="3">
        <f>((((L46-M46)/1000)*9320)*0.000001)*J6</f>
        <v>0</v>
      </c>
      <c r="O46" s="2" t="s">
        <v>64</v>
      </c>
      <c r="P46" s="2"/>
      <c r="Q46" s="2"/>
      <c r="R46" s="2"/>
      <c r="S46" s="2"/>
      <c r="U46" s="2">
        <v>1</v>
      </c>
      <c r="V46" s="3" t="s">
        <v>63</v>
      </c>
      <c r="W46" s="62">
        <f>IF(X32=2,0.0922,IF(X32=3,0.1043,IF(X32=4,0.0342,IF(X32=5,0.0341,IF(X32=6,0.0123,IF(X32=7,0.0123,IF(X32=8,0.0123,IF(X32=9,0.0123,IF(X32=1,0.03533,"")))))))))</f>
        <v>3.533E-2</v>
      </c>
      <c r="X46" s="3" t="str">
        <f>IF((K$8=V46),U46,"")</f>
        <v/>
      </c>
      <c r="Y46" s="3">
        <f>IFERROR(SMALL(X$46:X$51,U46),"")</f>
        <v>2</v>
      </c>
      <c r="Z46" s="3">
        <f>IF(X32=1, 64.25, IF(X32=2, 69.333, IF(X32=3, 69.333, IF(X32=4, 69.333, IF(X32=5, 64.25, IF(X32=6,64.25, IF(X32=7,64.25, IF(X32=8, 64.25, IF(X32=9, 64.25,"")))))))))</f>
        <v>64.25</v>
      </c>
      <c r="AA46" s="3" t="b">
        <f>IF(Y$46=U46,K$10*(Z46*W46))</f>
        <v>0</v>
      </c>
      <c r="AB46" s="3" t="b">
        <f>IF(Y$46=U46,K$11*(Z46*W46))</f>
        <v>0</v>
      </c>
      <c r="AC46" s="3">
        <f>((((AA46-AB46)/1000)*9320)*0.000001)*K6</f>
        <v>0</v>
      </c>
      <c r="AD46" s="2" t="s">
        <v>64</v>
      </c>
      <c r="AE46" s="2"/>
      <c r="AF46" s="2"/>
      <c r="AG46" s="2"/>
      <c r="AH46" s="2"/>
      <c r="AI46" s="2">
        <v>1</v>
      </c>
      <c r="AJ46" s="3" t="s">
        <v>63</v>
      </c>
      <c r="AK46" s="62" t="str">
        <f>IF(AL31=2,0.0922,IF(AL31=3,0.1043,IF(AL31=4,0.0342,IF(AL31=5,0.0341,IF(AL31=6,0.0123,IF(AL31=7,0.0123,IF(AL31=8,0.0123,IF(AL31=9,0.0123,IF(AL31=1,0.03533,"")))))))))</f>
        <v/>
      </c>
      <c r="AL46" s="3" t="str">
        <f>IF((L$8=AJ46),AI46,"")</f>
        <v/>
      </c>
      <c r="AM46" s="3" t="str">
        <f>IFERROR(SMALL(AL$46:AL$51,AI46),"")</f>
        <v/>
      </c>
      <c r="AN46" s="3" t="str">
        <f>IF(AL31=1, 64.25, IF(AL31=2, 69.333, IF(AL31=3, 69.333, IF(AL31=4, 69.333, IF(AL31=5, 64.25, IF(AL31=6,64.25, IF(AL31=7,64.25, IF(AL31=8, 64.25, IF(AL31=9, 64.25,"")))))))))</f>
        <v/>
      </c>
      <c r="AO46" s="3" t="b">
        <f>IF(AM$46=AI46,L$10*(AN46*AK46))</f>
        <v>0</v>
      </c>
      <c r="AP46" s="3" t="b">
        <f>IF(AM$46=AI46,L$11*(AN46*AK46))</f>
        <v>0</v>
      </c>
      <c r="AQ46" s="3">
        <f>((((AO46-AP46)/1000)*9320)*0.000001)*L6</f>
        <v>0</v>
      </c>
      <c r="AR46" s="2" t="s">
        <v>64</v>
      </c>
      <c r="AS46" s="2"/>
      <c r="AT46" s="2"/>
      <c r="AU46" s="2"/>
      <c r="AW46" s="2">
        <v>1</v>
      </c>
      <c r="AX46" s="3" t="s">
        <v>63</v>
      </c>
      <c r="AY46" s="62" t="str">
        <f>IF(AZ31=2,0.0922,IF(AZ31=3,0.1043,IF(AZ31=4,0.0342,IF(AZ31=5,0.0341,IF(AZ31=6,0.0123,IF(AZ31=7,0.0123,IF(AZ31=8,0.0123,IF(AZ31=9,0.0123,IF(AZ31=1,0.03533,"")))))))))</f>
        <v/>
      </c>
      <c r="AZ46" s="3" t="str">
        <f>IF((M$8=AX46),AW46,"")</f>
        <v/>
      </c>
      <c r="BA46" s="3" t="str">
        <f>IFERROR(SMALL(AZ$46:AZ$51,AW46),"")</f>
        <v/>
      </c>
      <c r="BB46" s="3" t="str">
        <f>IF(AZ31=1, 64.25, IF(AZ31=2, 69.333, IF(AZ31=3, 69.333, IF(AZ31=4, 69.333, IF(AZ31=5, 64.25, IF(AZ31=6,64.25, IF(AZ31=7,64.25, IF(AZ31=8, 64.25, IF(AZ31=9, 64.25,"")))))))))</f>
        <v/>
      </c>
      <c r="BC46" s="3" t="b">
        <f>IF(BA$46=AW46,M$10*(BB46*AY46))</f>
        <v>0</v>
      </c>
      <c r="BD46" s="3" t="b">
        <f>IF(BA$46=AW46,M$11*(BB46*AY46))</f>
        <v>0</v>
      </c>
      <c r="BE46" s="3">
        <f>((((BC46-BD46)/1000)*9320)*0.000001)*M6</f>
        <v>0</v>
      </c>
      <c r="BF46" s="2" t="s">
        <v>64</v>
      </c>
      <c r="BG46" s="2"/>
      <c r="BH46" s="2"/>
      <c r="BK46" s="2">
        <v>1</v>
      </c>
      <c r="BL46" s="3" t="s">
        <v>63</v>
      </c>
      <c r="BM46" s="62" t="str">
        <f>IF(BN30=2,0.0922,IF(BN30=3,0.1043,IF(BN30=4,0.0342,IF(BN30=5,0.0341,IF(BN30=6,0.0123,IF(BN30=7,0.0123,IF(BN30=8,0.0123,IF(BN30=9,0.0123,IF(BN30=1,0.03533,"")))))))))</f>
        <v/>
      </c>
      <c r="BN46" s="3" t="str">
        <f>IF((N$8=BL46),BK46,"")</f>
        <v/>
      </c>
      <c r="BO46" s="3" t="str">
        <f>IFERROR(SMALL(BN$46:BN$51,BK46),"")</f>
        <v/>
      </c>
      <c r="BP46" s="3" t="str">
        <f>IF(BN30=1, 64.25, IF(BN30=2, 69.333, IF(BN30=3, 69.333, IF(BN30=4, 69.333, IF(BN30=5, 64.25, IF(BN30=6,64.25, IF(BN30=7,64.25, IF(BN30=8, 64.25, IF(BN30=9, 64.25,"")))))))))</f>
        <v/>
      </c>
      <c r="BQ46" s="3" t="b">
        <f>IF(BO$46=BK46,N$10*(BP46*BM46))</f>
        <v>0</v>
      </c>
      <c r="BR46" s="3" t="b">
        <f>IF(BO$46=BK46,N$11*(BP46*BM46))</f>
        <v>0</v>
      </c>
      <c r="BS46" s="3">
        <f>((((BQ46-BR46)/1000)*9320)*0.000001)*N6</f>
        <v>0</v>
      </c>
      <c r="BT46" s="2" t="s">
        <v>64</v>
      </c>
      <c r="BU46" s="2"/>
      <c r="BV46" s="2">
        <v>1</v>
      </c>
      <c r="BW46" s="3" t="s">
        <v>63</v>
      </c>
      <c r="BX46" s="62" t="str">
        <f>IF(BY30=2,0.0922,IF(BY30=3,0.1043,IF(BY30=4,0.0342,IF(BY30=5,0.0341,IF(BY30=6,0.0123,IF(BY30=7,0.0123,IF(BY30=8,0.0123,IF(BY30=9,0.0123,IF(BY30=1,0.03533,"")))))))))</f>
        <v/>
      </c>
      <c r="BY46" s="3" t="str">
        <f>IF((O$8=BW46),BV46,"")</f>
        <v/>
      </c>
      <c r="BZ46" s="3" t="str">
        <f>IFERROR(SMALL(BY$46:BY$51,BV46),"")</f>
        <v/>
      </c>
      <c r="CA46" s="3" t="str">
        <f>IF(BY30=1, 64.25, IF(BY30=2, 69.333, IF(BY30=3, 69.333, IF(BY30=4, 69.333, IF(BY30=5, 64.25, IF(BY30=6,64.25, IF(BY30=7,64.25, IF(BY30=8, 64.25, IF(BY30=9, 64.25,"")))))))))</f>
        <v/>
      </c>
      <c r="CB46" s="3" t="b">
        <f>IF(BZ$46=BV46,O$10*(CA46*BX46))</f>
        <v>0</v>
      </c>
      <c r="CC46" s="3" t="b">
        <f>IF(BZ$46=BV46,O$11*(CA46*BX46))</f>
        <v>0</v>
      </c>
      <c r="CD46" s="3">
        <f>((((CB46-CC46)/1000)*9320)*0.000001)*O6</f>
        <v>0</v>
      </c>
      <c r="CE46" s="2" t="s">
        <v>64</v>
      </c>
      <c r="CF46" s="2"/>
      <c r="CG46" s="2"/>
    </row>
    <row r="47" spans="6:85">
      <c r="F47" s="2">
        <v>2</v>
      </c>
      <c r="G47" s="3" t="s">
        <v>19</v>
      </c>
      <c r="H47" s="3">
        <f>IF(I32=2,0.001,IF(I32=3,0.001,IF(I32=4,0.001,IF(I32=5,0.001,IF(I32=6,0.0019,IF(I32=7,0.0019,IF(I32=8,0.0019,IF(I32=9,0.0019,IF(I32=1,0.00151,"")))))))))</f>
        <v>1E-3</v>
      </c>
      <c r="I47" s="3">
        <f>IF((J$8=G47),F47,"")</f>
        <v>2</v>
      </c>
      <c r="J47" s="3" t="str">
        <f>IFERROR(SMALL(I$46:I$51,F47),"")</f>
        <v/>
      </c>
      <c r="K47" s="3">
        <f>IF(I32=1, 55.333, IF(I32=2, 64, IF(I32=3, 64, IF(I32=4, 64, IF(I32=5, 55.333, IF(I32=6,55.333, IF(I32=7,55.333, IF(I32=8, 55.333, IF(I32=9, 55.333,"")))))))))</f>
        <v>64</v>
      </c>
      <c r="L47" s="3">
        <f t="shared" ref="L47:L48" si="18">IF(J$46=F47,J$10*(K47*H47))</f>
        <v>6400</v>
      </c>
      <c r="M47" s="3">
        <f t="shared" ref="M47:M48" si="19">IF(J$46=F47,J$11*(K47*H47))</f>
        <v>5760</v>
      </c>
      <c r="N47" s="3">
        <f>((((L47-M47)/1000)*14415)*0.000001)*J6</f>
        <v>9.2256000000000005E-3</v>
      </c>
      <c r="O47" s="2" t="s">
        <v>64</v>
      </c>
      <c r="P47" s="2"/>
      <c r="Q47" s="2"/>
      <c r="R47" s="2"/>
      <c r="S47" s="2"/>
      <c r="U47" s="2">
        <v>2</v>
      </c>
      <c r="V47" s="3" t="s">
        <v>19</v>
      </c>
      <c r="W47" s="3">
        <f>IF(X32=2,0.001,IF(X32=3,0.001,IF(X32=4,0.001,IF(X32=5,0.001,IF(X32=6,0.0019,IF(X32=7,0.0019,IF(X32=8,0.0019,IF(X32=9,0.0019,IF(X32=1,0.00151,"")))))))))</f>
        <v>1.5100000000000001E-3</v>
      </c>
      <c r="X47" s="3">
        <f>IF((K$8=V47),U47,"")</f>
        <v>2</v>
      </c>
      <c r="Y47" s="3" t="str">
        <f>IFERROR(SMALL(X$46:X$51,U47),"")</f>
        <v/>
      </c>
      <c r="Z47" s="3">
        <f>IF(X32=1, 55.333, IF(X32=2, 64, IF(X32=3, 64, IF(X32=4, 64, IF(X32=5, 55.333, IF(X32=6,55.333, IF(X32=7,55.333, IF(X32=8, 55.333, IF(X32=9, 55.333,"")))))))))</f>
        <v>55.332999999999998</v>
      </c>
      <c r="AA47" s="3">
        <f>IF(Y$46=U47,K$10*(Z47*W47))</f>
        <v>0</v>
      </c>
      <c r="AB47" s="3">
        <f>IF(Y$46=U47,K$11*(Z47*W47))</f>
        <v>0</v>
      </c>
      <c r="AC47" s="3">
        <f>((((AA47-AB47)/1000)*14415)*0.000001)*K6</f>
        <v>0</v>
      </c>
      <c r="AD47" s="2" t="s">
        <v>64</v>
      </c>
      <c r="AE47" s="2"/>
      <c r="AF47" s="2"/>
      <c r="AG47" s="2"/>
      <c r="AH47" s="2"/>
      <c r="AI47" s="2">
        <v>2</v>
      </c>
      <c r="AJ47" s="3" t="s">
        <v>19</v>
      </c>
      <c r="AK47" s="3" t="str">
        <f>IF(AL31=2,0.001,IF(AL31=3,0.001,IF(AL31=4,0.001,IF(AL31=5,0.001,IF(AL31=6,0.0019,IF(AL31=7,0.0019,IF(AL31=8,0.0019,IF(AL31=9,0.0019,IF(AL31=1,0.00151,"")))))))))</f>
        <v/>
      </c>
      <c r="AL47" s="3" t="str">
        <f>IF((L$8=AJ47),AI47,"")</f>
        <v/>
      </c>
      <c r="AM47" s="3" t="str">
        <f>IFERROR(SMALL(AL$46:AL$51,AI47),"")</f>
        <v/>
      </c>
      <c r="AN47" s="3" t="str">
        <f>IF(AL31=1, 55.333, IF(AL31=2, 64, IF(AL31=3, 64, IF(AL31=4, 64, IF(AL31=5, 55.333, IF(AL31=6,55.333, IF(AL31=7,55.333, IF(AL31=8, 55.333, IF(AL31=9, 55.333,"")))))))))</f>
        <v/>
      </c>
      <c r="AO47" s="3" t="b">
        <f>IF(AM$46=AI47,L$10*(AN47*AK47))</f>
        <v>0</v>
      </c>
      <c r="AP47" s="3" t="b">
        <f>IF(AM$46=AI47,L$11*(AN47*AK47))</f>
        <v>0</v>
      </c>
      <c r="AQ47" s="3">
        <f>((((AO47-AP47)/1000)*14415)*0.000001)*L6</f>
        <v>0</v>
      </c>
      <c r="AR47" s="2" t="s">
        <v>64</v>
      </c>
      <c r="AS47" s="2"/>
      <c r="AT47" s="2"/>
      <c r="AU47" s="2"/>
      <c r="AW47" s="2">
        <v>2</v>
      </c>
      <c r="AX47" s="3" t="s">
        <v>19</v>
      </c>
      <c r="AY47" s="3" t="str">
        <f>IF(AZ31=2,0.001,IF(AZ31=3,0.001,IF(AZ31=4,0.001,IF(AZ31=5,0.001,IF(AZ31=6,0.0019,IF(AZ31=7,0.0019,IF(AZ31=8,0.0019,IF(AZ31=9,0.0019,IF(AZ31=1,0.00151,"")))))))))</f>
        <v/>
      </c>
      <c r="AZ47" s="3" t="str">
        <f>IF((M$8=AX47),AW47,"")</f>
        <v/>
      </c>
      <c r="BA47" s="3" t="str">
        <f>IFERROR(SMALL(AZ$46:AZ$51,AW47),"")</f>
        <v/>
      </c>
      <c r="BB47" s="3" t="str">
        <f>IF(AZ31=1, 55.333, IF(AZ31=2, 64, IF(AZ31=3, 64, IF(AZ31=4, 64, IF(AZ31=5, 55.333, IF(AZ31=6,55.333, IF(AZ31=7,55.333, IF(AZ31=8, 55.333, IF(AZ31=9, 55.333,"")))))))))</f>
        <v/>
      </c>
      <c r="BC47" s="3" t="b">
        <f>IF(BA$46=AW47,M$10*(BB47*AY47))</f>
        <v>0</v>
      </c>
      <c r="BD47" s="3" t="b">
        <f>IF(BA$46=AW47,M$11*(BB47*AY47))</f>
        <v>0</v>
      </c>
      <c r="BE47" s="3">
        <f>((((BC47-BD47)/1000)*14415)*0.000001)*M6</f>
        <v>0</v>
      </c>
      <c r="BF47" s="2" t="s">
        <v>64</v>
      </c>
      <c r="BG47" s="2"/>
      <c r="BH47" s="2"/>
      <c r="BK47" s="2">
        <v>2</v>
      </c>
      <c r="BL47" s="3" t="s">
        <v>19</v>
      </c>
      <c r="BM47" s="3" t="str">
        <f>IF(BN30=2,0.001,IF(BN30=3,0.001,IF(BN30=4,0.001,IF(BN30=5,0.001,IF(BN30=6,0.0019,IF(BN30=7,0.0019,IF(BN30=8,0.0019,IF(BN30=9,0.0019,IF(BN30=1,0.00151,"")))))))))</f>
        <v/>
      </c>
      <c r="BN47" s="3" t="str">
        <f>IF((N$8=BL47),BK47,"")</f>
        <v/>
      </c>
      <c r="BO47" s="3" t="str">
        <f>IFERROR(SMALL(BN$46:BN$51,BK47),"")</f>
        <v/>
      </c>
      <c r="BP47" s="3" t="str">
        <f>IF(BN30=1, 55.333, IF(BN30=2, 64, IF(BN30=3, 64, IF(BN30=4, 64, IF(BN30=5, 55.333, IF(BN30=6,55.333, IF(BN30=7,55.333, IF(BN30=8, 55.333, IF(BN30=9, 55.333,"")))))))))</f>
        <v/>
      </c>
      <c r="BQ47" s="3" t="b">
        <f>IF(BO$46=BK47,N$10*(BP47*BM47))</f>
        <v>0</v>
      </c>
      <c r="BR47" s="3" t="b">
        <f>IF(BO$46=BK47,N$11*(BP47*BM47))</f>
        <v>0</v>
      </c>
      <c r="BS47" s="3">
        <f>((((BQ47-BR47)/1000)*14415)*0.000001)*N6</f>
        <v>0</v>
      </c>
      <c r="BT47" s="2" t="s">
        <v>64</v>
      </c>
      <c r="BU47" s="2"/>
      <c r="BV47" s="2">
        <v>2</v>
      </c>
      <c r="BW47" s="3" t="s">
        <v>19</v>
      </c>
      <c r="BX47" s="3" t="str">
        <f>IF(BY30=2,0.001,IF(BY30=3,0.001,IF(BY30=4,0.001,IF(BY30=5,0.001,IF(BY30=6,0.0019,IF(BY30=7,0.0019,IF(BY30=8,0.0019,IF(BY30=9,0.0019,IF(BY30=1,0.00151,"")))))))))</f>
        <v/>
      </c>
      <c r="BY47" s="3" t="str">
        <f>IF((O$8=BW47),BV47,"")</f>
        <v/>
      </c>
      <c r="BZ47" s="3" t="str">
        <f>IFERROR(SMALL(BY$46:BY$51,BV47),"")</f>
        <v/>
      </c>
      <c r="CA47" s="3" t="str">
        <f>IF(BY30=1, 55.333, IF(BY30=2, 64, IF(BY30=3, 64, IF(BY30=4, 64, IF(BY30=5, 55.333, IF(BY30=6,55.333, IF(BY30=7,55.333, IF(BY30=8, 55.333, IF(BY30=9, 55.333,"")))))))))</f>
        <v/>
      </c>
      <c r="CB47" s="3" t="b">
        <f>IF(BZ$46=BV47,O$10*(CA47*BX47))</f>
        <v>0</v>
      </c>
      <c r="CC47" s="3" t="b">
        <f>IF(BZ$46=BV47,O$11*(CA47*BX47))</f>
        <v>0</v>
      </c>
      <c r="CD47" s="3">
        <f>((((CB47-CC47)/1000)*14415)*0.000001)*O6</f>
        <v>0</v>
      </c>
      <c r="CE47" s="2" t="s">
        <v>64</v>
      </c>
      <c r="CF47" s="2"/>
      <c r="CG47" s="2"/>
    </row>
    <row r="48" spans="6:85">
      <c r="F48" s="2">
        <v>3</v>
      </c>
      <c r="G48" s="3" t="s">
        <v>65</v>
      </c>
      <c r="H48" s="3">
        <f>IF(N32=2, 0.088, IF(N32=3, 0.1007, IF(N32=4, 0.0338, IF(N32=5, 0.0338, IF(N32=6, 0.0338, IF(N32=7, 0.0338, IF(N32=1, 0.0539, "")))))))</f>
        <v>8.7999999999999995E-2</v>
      </c>
      <c r="I48" s="3" t="str">
        <f>IF((J$8=G48),F48,"")</f>
        <v/>
      </c>
      <c r="J48" s="3" t="str">
        <f>IFERROR(SMALL(I$46:I$51,F48),"")</f>
        <v/>
      </c>
      <c r="K48" s="3">
        <v>57</v>
      </c>
      <c r="L48" s="3" t="b">
        <f t="shared" si="18"/>
        <v>0</v>
      </c>
      <c r="M48" s="3" t="b">
        <f t="shared" si="19"/>
        <v>0</v>
      </c>
      <c r="N48" s="3">
        <f>((((L48-M48)/1000)*12310)*0.000001)*J6</f>
        <v>0</v>
      </c>
      <c r="O48" s="2" t="s">
        <v>64</v>
      </c>
      <c r="P48" s="2"/>
      <c r="Q48" s="2"/>
      <c r="R48" s="2"/>
      <c r="S48" s="2"/>
      <c r="U48" s="2">
        <v>3</v>
      </c>
      <c r="V48" s="3" t="s">
        <v>65</v>
      </c>
      <c r="W48" s="3">
        <f>IF(AC32=2, 0.088, IF(AC32=3, 0.1007, IF(AC32=4, 0.0338, IF(AC32=5, 0.0338, IF(AC32=6, 0.0338, IF(AC32=7, 0.0338, IF(AC32=1, 0.0539, "")))))))</f>
        <v>5.3900000000000003E-2</v>
      </c>
      <c r="X48" s="3" t="str">
        <f>IF((K$8=V48),U48,"")</f>
        <v/>
      </c>
      <c r="Y48" s="3" t="str">
        <f>IFERROR(SMALL(X$46:X$51,U48),"")</f>
        <v/>
      </c>
      <c r="Z48" s="3">
        <f>57</f>
        <v>57</v>
      </c>
      <c r="AA48" s="3" t="b">
        <f>IF(Y$46=U48,K$10*(Z48*W48))</f>
        <v>0</v>
      </c>
      <c r="AB48" s="3" t="b">
        <f>IF(Y$46=U48,K$11*(Z48*W48))</f>
        <v>0</v>
      </c>
      <c r="AC48" s="3">
        <f>((((AA48-AB48)/1000)*12310)*0.000001)*K6</f>
        <v>0</v>
      </c>
      <c r="AD48" s="2" t="s">
        <v>64</v>
      </c>
      <c r="AE48" s="2"/>
      <c r="AF48" s="2"/>
      <c r="AG48" s="2"/>
      <c r="AH48" s="2"/>
      <c r="AI48" s="2">
        <v>3</v>
      </c>
      <c r="AJ48" s="3" t="s">
        <v>65</v>
      </c>
      <c r="AK48" s="3" t="str">
        <f>IF(AQ31=2, 0.088, IF(AQ31=3, 0.1007, IF(AQ31=4, 0.0338, IF(AQ31=5, 0.0338, IF(AQ31=6, 0.0338, IF(AQ31=7, 0.0338, IF(AQ31=1, 0.0539, "")))))))</f>
        <v/>
      </c>
      <c r="AL48" s="3" t="str">
        <f>IF((L$8=AJ48),AI48,"")</f>
        <v/>
      </c>
      <c r="AM48" s="3" t="str">
        <f>IFERROR(SMALL(AL$46:AL$51,AI48),"")</f>
        <v/>
      </c>
      <c r="AN48" s="3">
        <f>57</f>
        <v>57</v>
      </c>
      <c r="AO48" s="3" t="b">
        <f>IF(AM$46=AI48,L$10*(AN48*AK48))</f>
        <v>0</v>
      </c>
      <c r="AP48" s="3" t="b">
        <f>IF(AM$46=AI48,L$11*(AN48*AK48))</f>
        <v>0</v>
      </c>
      <c r="AQ48" s="3">
        <f>((((AO48-AP48)/1000)*12310)*0.000001)*L6</f>
        <v>0</v>
      </c>
      <c r="AR48" s="2" t="s">
        <v>64</v>
      </c>
      <c r="AS48" s="2"/>
      <c r="AT48" s="2"/>
      <c r="AU48" s="2"/>
      <c r="AW48" s="2">
        <v>3</v>
      </c>
      <c r="AX48" s="3" t="s">
        <v>65</v>
      </c>
      <c r="AY48" s="3" t="str">
        <f>IF(BE31=2, 0.088, IF(BE31=3, 0.1007, IF(BE31=4, 0.0338, IF(BE31=5, 0.0338, IF(BE31=6, 0.0338, IF(BE31=7, 0.0338, IF(BE31=1, 0.0539, "")))))))</f>
        <v/>
      </c>
      <c r="AZ48" s="3" t="str">
        <f>IF((M$8=AX48),AW48,"")</f>
        <v/>
      </c>
      <c r="BA48" s="3" t="str">
        <f>IFERROR(SMALL(AZ$46:AZ$51,AW48),"")</f>
        <v/>
      </c>
      <c r="BB48" s="3">
        <f>57</f>
        <v>57</v>
      </c>
      <c r="BC48" s="3" t="b">
        <f>IF(BA$46=AW48,M$10*(BB48*AY48))</f>
        <v>0</v>
      </c>
      <c r="BD48" s="3" t="b">
        <f>IF(BA$46=AW48,M$11*(BB48*AY48))</f>
        <v>0</v>
      </c>
      <c r="BE48" s="3">
        <f>((((BC48-BD48)/1000)*12310)*0.000001)*M6</f>
        <v>0</v>
      </c>
      <c r="BF48" s="2" t="s">
        <v>64</v>
      </c>
      <c r="BG48" s="2"/>
      <c r="BH48" s="2"/>
      <c r="BK48" s="2">
        <v>3</v>
      </c>
      <c r="BL48" s="3" t="s">
        <v>65</v>
      </c>
      <c r="BM48" s="3" t="str">
        <f>IF(BS30=2, 0.088, IF(BS30=3, 0.1007, IF(BS30=4, 0.0338, IF(BS30=5, 0.0338, IF(BS30=6, 0.0338, IF(BS30=7, 0.0338, IF(BS30=1, 0.0539, "")))))))</f>
        <v/>
      </c>
      <c r="BN48" s="3" t="str">
        <f>IF((N$8=BL48),BK48,"")</f>
        <v/>
      </c>
      <c r="BO48" s="3" t="str">
        <f>IFERROR(SMALL(BN$46:BN$51,BK48),"")</f>
        <v/>
      </c>
      <c r="BP48" s="3">
        <f>57</f>
        <v>57</v>
      </c>
      <c r="BQ48" s="3" t="b">
        <f>IF(BO$46=BK48,N$10*(BP48*BM48))</f>
        <v>0</v>
      </c>
      <c r="BR48" s="3" t="b">
        <f>IF(BO$46=BK48,N$11*(BP48*BM48))</f>
        <v>0</v>
      </c>
      <c r="BS48" s="3">
        <f>((((BQ48-BR48)/1000)*12310)*0.000001)*N6</f>
        <v>0</v>
      </c>
      <c r="BT48" s="2" t="s">
        <v>64</v>
      </c>
      <c r="BU48" s="2"/>
      <c r="BV48" s="2">
        <v>3</v>
      </c>
      <c r="BW48" s="3" t="s">
        <v>65</v>
      </c>
      <c r="BX48" s="3" t="str">
        <f>IF(CD30=2, 0.088, IF(CD30=3, 0.1007, IF(CD30=4, 0.0338, IF(CD30=5, 0.0338, IF(CD30=6, 0.0338, IF(CD30=7, 0.0338, IF(CD30=1, 0.0539, "")))))))</f>
        <v/>
      </c>
      <c r="BY48" s="3" t="str">
        <f>IF((O$8=BW48),BV48,"")</f>
        <v/>
      </c>
      <c r="BZ48" s="3" t="str">
        <f>IFERROR(SMALL(BY$46:BY$51,BV48),"")</f>
        <v/>
      </c>
      <c r="CA48" s="3">
        <f>57</f>
        <v>57</v>
      </c>
      <c r="CB48" s="3" t="b">
        <f>IF(BZ$46=BV48,O$10*(CA48*BX48))</f>
        <v>0</v>
      </c>
      <c r="CC48" s="3" t="b">
        <f>IF(BZ$46=BV48,O$11*(CA48*BX48))</f>
        <v>0</v>
      </c>
      <c r="CD48" s="3">
        <f>((((CB48-CC48)/1000)*12310)*0.000001)*O6</f>
        <v>0</v>
      </c>
      <c r="CE48" s="2" t="s">
        <v>64</v>
      </c>
      <c r="CF48" s="2"/>
      <c r="CG48" s="2"/>
    </row>
    <row r="49" spans="6:85">
      <c r="F49" s="11">
        <v>5</v>
      </c>
      <c r="G49" s="7" t="s">
        <v>66</v>
      </c>
      <c r="H49" s="7">
        <v>2.8299999999999999E-2</v>
      </c>
      <c r="I49" s="7" t="str">
        <f>IF((Q$8=G49),F49,"")</f>
        <v/>
      </c>
      <c r="J49" s="7" t="str">
        <f>IFERROR(SMALL(I$51:I$56,F49),"")</f>
        <v/>
      </c>
      <c r="K49" s="7">
        <f>39.57</f>
        <v>39.57</v>
      </c>
      <c r="L49" s="7" t="b">
        <f>IF(J$51=F49,I$8*(K49*H49))</f>
        <v>0</v>
      </c>
      <c r="M49" s="7" t="b">
        <f>IF(J$51=F49,L$8*(K49*H49))</f>
        <v>0</v>
      </c>
      <c r="N49" s="7">
        <f>L49-M49</f>
        <v>0</v>
      </c>
      <c r="O49" s="2"/>
      <c r="P49" s="2"/>
      <c r="Q49" s="2"/>
      <c r="R49" s="2"/>
      <c r="S49" s="2"/>
      <c r="U49" s="11">
        <v>4</v>
      </c>
      <c r="V49" s="7" t="s">
        <v>66</v>
      </c>
      <c r="W49" s="7">
        <v>2.8299999999999999E-2</v>
      </c>
      <c r="X49" s="7" t="str">
        <f>IF((AF$8=V49),U49,"")</f>
        <v/>
      </c>
      <c r="Y49" s="7" t="str">
        <f>IFERROR(SMALL(X$51:X$56,U49),"")</f>
        <v/>
      </c>
      <c r="Z49" s="7">
        <f>39.57</f>
        <v>39.57</v>
      </c>
      <c r="AA49" s="7" t="b">
        <f>IF(Y$51=U49,X$8*(Z49*W49))</f>
        <v>0</v>
      </c>
      <c r="AB49" s="7" t="b">
        <f>IF(Y$51=U49,AA$8*(Z49*W49))</f>
        <v>0</v>
      </c>
      <c r="AC49" s="7">
        <f>AA49-AB49</f>
        <v>0</v>
      </c>
      <c r="AD49" s="2"/>
      <c r="AE49" s="2"/>
      <c r="AF49" s="2"/>
      <c r="AG49" s="2"/>
      <c r="AH49" s="2"/>
      <c r="AI49" s="11">
        <v>4</v>
      </c>
      <c r="AJ49" s="7" t="s">
        <v>66</v>
      </c>
      <c r="AK49" s="7">
        <v>2.8299999999999999E-2</v>
      </c>
      <c r="AL49" s="7" t="str">
        <f>IF((AT$8=AJ49),AI49,"")</f>
        <v/>
      </c>
      <c r="AM49" s="7" t="str">
        <f>IFERROR(SMALL(AL$51:AL$56,AI49),"")</f>
        <v/>
      </c>
      <c r="AN49" s="7">
        <f>39.57</f>
        <v>39.57</v>
      </c>
      <c r="AO49" s="7" t="b">
        <f>IF(AM$51=AI49,AL$8*(AN49*AK49))</f>
        <v>0</v>
      </c>
      <c r="AP49" s="7" t="b">
        <f>IF(AM$51=AI49,AO$8*(AN49*AK49))</f>
        <v>0</v>
      </c>
      <c r="AQ49" s="7">
        <f>AO49-AP49</f>
        <v>0</v>
      </c>
      <c r="AR49" s="2"/>
      <c r="AS49" s="2"/>
      <c r="AT49" s="2"/>
      <c r="AU49" s="2"/>
      <c r="AW49" s="11">
        <v>4</v>
      </c>
      <c r="AX49" s="7" t="s">
        <v>66</v>
      </c>
      <c r="AY49" s="7">
        <v>2.8299999999999999E-2</v>
      </c>
      <c r="AZ49" s="7" t="str">
        <f>IF((BH$8=AX49),AW49,"")</f>
        <v/>
      </c>
      <c r="BA49" s="7" t="str">
        <f>IFERROR(SMALL(AZ$51:AZ$56,AW49),"")</f>
        <v/>
      </c>
      <c r="BB49" s="7">
        <f>39.57</f>
        <v>39.57</v>
      </c>
      <c r="BC49" s="7" t="b">
        <f>IF(BA$51=AW49,AZ$8*(BB49*AY49))</f>
        <v>0</v>
      </c>
      <c r="BD49" s="7" t="b">
        <f>IF(BA$51=AW49,BC$8*(BB49*AY49))</f>
        <v>0</v>
      </c>
      <c r="BE49" s="7">
        <f>BC49-BD49</f>
        <v>0</v>
      </c>
      <c r="BF49" s="2"/>
      <c r="BG49" s="2"/>
      <c r="BH49" s="2"/>
      <c r="BK49" s="11">
        <v>4</v>
      </c>
      <c r="BL49" s="7" t="s">
        <v>66</v>
      </c>
      <c r="BM49" s="7">
        <v>2.8299999999999999E-2</v>
      </c>
      <c r="BN49" s="7" t="str">
        <f>IF((BV$8=BL49),BK49,"")</f>
        <v/>
      </c>
      <c r="BO49" s="7" t="str">
        <f>IFERROR(SMALL(BN$51:BN$56,BK49),"")</f>
        <v/>
      </c>
      <c r="BP49" s="7">
        <f>39.57</f>
        <v>39.57</v>
      </c>
      <c r="BQ49" s="7" t="b">
        <f>IF(BO$51=BK49,BN$8*(BP49*BM49))</f>
        <v>0</v>
      </c>
      <c r="BR49" s="7" t="b">
        <f>IF(BO$51=BK49,BQ$8*(BP49*BM49))</f>
        <v>0</v>
      </c>
      <c r="BS49" s="7">
        <f>BQ49-BR49</f>
        <v>0</v>
      </c>
      <c r="BT49" s="2"/>
      <c r="BU49" s="2"/>
      <c r="BV49" s="11">
        <v>4</v>
      </c>
      <c r="BW49" s="7" t="s">
        <v>66</v>
      </c>
      <c r="BX49" s="7">
        <v>2.8299999999999999E-2</v>
      </c>
      <c r="BY49" s="7" t="str">
        <f>IF((CG$8=BW49),BV49,"")</f>
        <v/>
      </c>
      <c r="BZ49" s="7" t="str">
        <f>IFERROR(SMALL(BY$51:BY$56,BV49),"")</f>
        <v/>
      </c>
      <c r="CA49" s="7">
        <f>39.57</f>
        <v>39.57</v>
      </c>
      <c r="CB49" s="7" t="b">
        <f>IF(BZ$51=BV49,BY$8*(CA49*BX49))</f>
        <v>0</v>
      </c>
      <c r="CC49" s="7" t="b">
        <f>IF(BZ$51=BV49,CB$8*(CA49*BX49))</f>
        <v>0</v>
      </c>
      <c r="CD49" s="7">
        <f>CB49-CC49</f>
        <v>0</v>
      </c>
      <c r="CE49" s="2"/>
      <c r="CF49" s="2"/>
      <c r="CG49" s="2"/>
    </row>
    <row r="50" spans="6:85">
      <c r="F50" s="11">
        <v>6</v>
      </c>
      <c r="G50" s="7" t="s">
        <v>67</v>
      </c>
      <c r="H50" s="7">
        <v>3.3799999999999997E-2</v>
      </c>
      <c r="I50" s="7" t="str">
        <f>IF((Q$8=G50),F50,"")</f>
        <v/>
      </c>
      <c r="J50" s="7" t="str">
        <f>IFERROR(SMALL(I$51:I$56,F50),"")</f>
        <v/>
      </c>
      <c r="K50" s="7">
        <f>87</f>
        <v>87</v>
      </c>
      <c r="L50" s="7" t="b">
        <f>IF(J$51=F50,I$8*(K50*H50))</f>
        <v>0</v>
      </c>
      <c r="M50" s="7" t="b">
        <f>IF(J$51=F50,L$8*(K50*H50))</f>
        <v>0</v>
      </c>
      <c r="N50" s="7">
        <f>L50-M50</f>
        <v>0</v>
      </c>
      <c r="O50" s="2"/>
      <c r="P50" s="2"/>
      <c r="Q50" s="2"/>
      <c r="R50" s="2"/>
      <c r="S50" s="2"/>
      <c r="U50" s="11">
        <v>5</v>
      </c>
      <c r="V50" s="7" t="s">
        <v>67</v>
      </c>
      <c r="W50" s="7">
        <v>3.3799999999999997E-2</v>
      </c>
      <c r="X50" s="7" t="str">
        <f>IF((AF$8=V50),U50,"")</f>
        <v/>
      </c>
      <c r="Y50" s="7" t="str">
        <f>IFERROR(SMALL(X$51:X$56,U50),"")</f>
        <v/>
      </c>
      <c r="Z50" s="7">
        <f>87</f>
        <v>87</v>
      </c>
      <c r="AA50" s="7" t="b">
        <f>IF(Y$51=U50,X$8*(Z50*W50))</f>
        <v>0</v>
      </c>
      <c r="AB50" s="7" t="b">
        <f>IF(Y$51=U50,AA$8*(Z50*W50))</f>
        <v>0</v>
      </c>
      <c r="AC50" s="7">
        <f>AA50-AB50</f>
        <v>0</v>
      </c>
      <c r="AD50" s="2"/>
      <c r="AE50" s="2"/>
      <c r="AF50" s="2"/>
      <c r="AG50" s="2"/>
      <c r="AH50" s="2"/>
      <c r="AI50" s="11">
        <v>5</v>
      </c>
      <c r="AJ50" s="7" t="s">
        <v>67</v>
      </c>
      <c r="AK50" s="7">
        <v>3.3799999999999997E-2</v>
      </c>
      <c r="AL50" s="7" t="str">
        <f>IF((AT$8=AJ50),AI50,"")</f>
        <v/>
      </c>
      <c r="AM50" s="7" t="str">
        <f>IFERROR(SMALL(AL$51:AL$56,AI50),"")</f>
        <v/>
      </c>
      <c r="AN50" s="7">
        <f>87</f>
        <v>87</v>
      </c>
      <c r="AO50" s="7" t="b">
        <f>IF(AM$51=AI50,AL$8*(AN50*AK50))</f>
        <v>0</v>
      </c>
      <c r="AP50" s="7" t="b">
        <f>IF(AM$51=AI50,AO$8*(AN50*AK50))</f>
        <v>0</v>
      </c>
      <c r="AQ50" s="7">
        <f>AO50-AP50</f>
        <v>0</v>
      </c>
      <c r="AR50" s="2"/>
      <c r="AS50" s="2"/>
      <c r="AT50" s="2"/>
      <c r="AU50" s="2"/>
      <c r="AW50" s="11">
        <v>5</v>
      </c>
      <c r="AX50" s="7" t="s">
        <v>67</v>
      </c>
      <c r="AY50" s="7">
        <v>3.3799999999999997E-2</v>
      </c>
      <c r="AZ50" s="7" t="str">
        <f>IF((BH$8=AX50),AW50,"")</f>
        <v/>
      </c>
      <c r="BA50" s="7" t="str">
        <f>IFERROR(SMALL(AZ$51:AZ$56,AW50),"")</f>
        <v/>
      </c>
      <c r="BB50" s="7">
        <f>87</f>
        <v>87</v>
      </c>
      <c r="BC50" s="7" t="b">
        <f>IF(BA$51=AW50,AZ$8*(BB50*AY50))</f>
        <v>0</v>
      </c>
      <c r="BD50" s="7" t="b">
        <f>IF(BA$51=AW50,BC$8*(BB50*AY50))</f>
        <v>0</v>
      </c>
      <c r="BE50" s="7">
        <f>BC50-BD50</f>
        <v>0</v>
      </c>
      <c r="BF50" s="2"/>
      <c r="BG50" s="2"/>
      <c r="BH50" s="2"/>
      <c r="BK50" s="11">
        <v>5</v>
      </c>
      <c r="BL50" s="7" t="s">
        <v>67</v>
      </c>
      <c r="BM50" s="7">
        <v>3.3799999999999997E-2</v>
      </c>
      <c r="BN50" s="7" t="str">
        <f>IF((BV$8=BL50),BK50,"")</f>
        <v/>
      </c>
      <c r="BO50" s="7" t="str">
        <f>IFERROR(SMALL(BN$51:BN$56,BK50),"")</f>
        <v/>
      </c>
      <c r="BP50" s="7">
        <f>87</f>
        <v>87</v>
      </c>
      <c r="BQ50" s="7" t="b">
        <f>IF(BO$51=BK50,BN$8*(BP50*BM50))</f>
        <v>0</v>
      </c>
      <c r="BR50" s="7" t="b">
        <f>IF(BO$51=BK50,BQ$8*(BP50*BM50))</f>
        <v>0</v>
      </c>
      <c r="BS50" s="7">
        <f>BQ50-BR50</f>
        <v>0</v>
      </c>
      <c r="BT50" s="2"/>
      <c r="BU50" s="2"/>
      <c r="BV50" s="11">
        <v>5</v>
      </c>
      <c r="BW50" s="7" t="s">
        <v>67</v>
      </c>
      <c r="BX50" s="7">
        <v>3.3799999999999997E-2</v>
      </c>
      <c r="BY50" s="7" t="str">
        <f>IF((CG$8=BW50),BV50,"")</f>
        <v/>
      </c>
      <c r="BZ50" s="7" t="str">
        <f>IFERROR(SMALL(BY$51:BY$56,BV50),"")</f>
        <v/>
      </c>
      <c r="CA50" s="7">
        <f>87</f>
        <v>87</v>
      </c>
      <c r="CB50" s="7" t="b">
        <f>IF(BZ$51=BV50,BY$8*(CA50*BX50))</f>
        <v>0</v>
      </c>
      <c r="CC50" s="7" t="b">
        <f>IF(BZ$51=BV50,CB$8*(CA50*BX50))</f>
        <v>0</v>
      </c>
      <c r="CD50" s="7">
        <f>CB50-CC50</f>
        <v>0</v>
      </c>
      <c r="CE50" s="2"/>
      <c r="CF50" s="2"/>
      <c r="CG50" s="2"/>
    </row>
    <row r="51" spans="6:85">
      <c r="F51" s="11">
        <v>7</v>
      </c>
      <c r="G51" s="7" t="s">
        <v>68</v>
      </c>
      <c r="H51" s="7">
        <v>3.39E-2</v>
      </c>
      <c r="I51" s="7" t="str">
        <f>IF((Q$8=G51),F51,"")</f>
        <v/>
      </c>
      <c r="J51" s="7" t="str">
        <f>IFERROR(SMALL(I$51:I$56,F51),"")</f>
        <v/>
      </c>
      <c r="K51" s="7">
        <f>63</f>
        <v>63</v>
      </c>
      <c r="L51" s="7" t="b">
        <f>IF(J$51=F51,I$8*(K51*H51))</f>
        <v>0</v>
      </c>
      <c r="M51" s="7" t="b">
        <f>IF(J$51=F51,L$8*(K51*H51))</f>
        <v>0</v>
      </c>
      <c r="N51" s="7">
        <f>L51-M51</f>
        <v>0</v>
      </c>
      <c r="O51" s="2"/>
      <c r="P51" s="2"/>
      <c r="Q51" s="2"/>
      <c r="R51" s="2"/>
      <c r="S51" s="2"/>
      <c r="U51" s="11">
        <v>6</v>
      </c>
      <c r="V51" s="7" t="s">
        <v>68</v>
      </c>
      <c r="W51" s="7">
        <v>3.39E-2</v>
      </c>
      <c r="X51" s="7" t="str">
        <f>IF((AF$8=V51),U51,"")</f>
        <v/>
      </c>
      <c r="Y51" s="7" t="str">
        <f>IFERROR(SMALL(X$51:X$56,U51),"")</f>
        <v/>
      </c>
      <c r="Z51" s="7">
        <f>63</f>
        <v>63</v>
      </c>
      <c r="AA51" s="7" t="b">
        <f>IF(Y$51=U51,X$8*(Z51*W51))</f>
        <v>0</v>
      </c>
      <c r="AB51" s="7" t="b">
        <f>IF(Y$51=U51,AA$8*(Z51*W51))</f>
        <v>0</v>
      </c>
      <c r="AC51" s="7">
        <f>AA51-AB51</f>
        <v>0</v>
      </c>
      <c r="AD51" s="2"/>
      <c r="AE51" s="2"/>
      <c r="AF51" s="2"/>
      <c r="AG51" s="2"/>
      <c r="AH51" s="2"/>
      <c r="AI51" s="11">
        <v>6</v>
      </c>
      <c r="AJ51" s="7" t="s">
        <v>68</v>
      </c>
      <c r="AK51" s="7">
        <v>3.39E-2</v>
      </c>
      <c r="AL51" s="7" t="str">
        <f>IF((AT$8=AJ51),AI51,"")</f>
        <v/>
      </c>
      <c r="AM51" s="7" t="str">
        <f>IFERROR(SMALL(AL$51:AL$56,AI51),"")</f>
        <v/>
      </c>
      <c r="AN51" s="7">
        <f>63</f>
        <v>63</v>
      </c>
      <c r="AO51" s="7" t="b">
        <f>IF(AM$51=AI51,AL$8*(AN51*AK51))</f>
        <v>0</v>
      </c>
      <c r="AP51" s="7" t="b">
        <f>IF(AM$51=AI51,AO$8*(AN51*AK51))</f>
        <v>0</v>
      </c>
      <c r="AQ51" s="7">
        <f>AO51-AP51</f>
        <v>0</v>
      </c>
      <c r="AR51" s="2"/>
      <c r="AS51" s="2"/>
      <c r="AT51" s="2"/>
      <c r="AU51" s="2"/>
      <c r="AW51" s="11">
        <v>6</v>
      </c>
      <c r="AX51" s="7" t="s">
        <v>68</v>
      </c>
      <c r="AY51" s="7">
        <v>3.39E-2</v>
      </c>
      <c r="AZ51" s="7" t="str">
        <f>IF((BH$8=AX51),AW51,"")</f>
        <v/>
      </c>
      <c r="BA51" s="7" t="str">
        <f>IFERROR(SMALL(AZ$51:AZ$56,AW51),"")</f>
        <v/>
      </c>
      <c r="BB51" s="7">
        <f>63</f>
        <v>63</v>
      </c>
      <c r="BC51" s="7" t="b">
        <f>IF(BA$51=AW51,AZ$8*(BB51*AY51))</f>
        <v>0</v>
      </c>
      <c r="BD51" s="7" t="b">
        <f>IF(BA$51=AW51,BC$8*(BB51*AY51))</f>
        <v>0</v>
      </c>
      <c r="BE51" s="7">
        <f>BC51-BD51</f>
        <v>0</v>
      </c>
      <c r="BF51" s="2"/>
      <c r="BG51" s="2"/>
      <c r="BH51" s="2"/>
      <c r="BK51" s="11">
        <v>6</v>
      </c>
      <c r="BL51" s="7" t="s">
        <v>68</v>
      </c>
      <c r="BM51" s="7">
        <v>3.39E-2</v>
      </c>
      <c r="BN51" s="7" t="str">
        <f>IF((BV$8=BL51),BK51,"")</f>
        <v/>
      </c>
      <c r="BO51" s="7" t="str">
        <f>IFERROR(SMALL(BN$51:BN$56,BK51),"")</f>
        <v/>
      </c>
      <c r="BP51" s="7">
        <f>63</f>
        <v>63</v>
      </c>
      <c r="BQ51" s="7" t="b">
        <f>IF(BO$51=BK51,BN$8*(BP51*BM51))</f>
        <v>0</v>
      </c>
      <c r="BR51" s="7" t="b">
        <f>IF(BO$51=BK51,BQ$8*(BP51*BM51))</f>
        <v>0</v>
      </c>
      <c r="BS51" s="7">
        <f>BQ51-BR51</f>
        <v>0</v>
      </c>
      <c r="BT51" s="2"/>
      <c r="BU51" s="2"/>
      <c r="BV51" s="11">
        <v>6</v>
      </c>
      <c r="BW51" s="7" t="s">
        <v>68</v>
      </c>
      <c r="BX51" s="7">
        <v>3.39E-2</v>
      </c>
      <c r="BY51" s="7" t="str">
        <f>IF((CG$8=BW51),BV51,"")</f>
        <v/>
      </c>
      <c r="BZ51" s="7" t="str">
        <f>IFERROR(SMALL(BY$51:BY$56,BV51),"")</f>
        <v/>
      </c>
      <c r="CA51" s="7">
        <f>63</f>
        <v>63</v>
      </c>
      <c r="CB51" s="7" t="b">
        <f>IF(BZ$51=BV51,BY$8*(CA51*BX51))</f>
        <v>0</v>
      </c>
      <c r="CC51" s="7" t="b">
        <f>IF(BZ$51=BV51,CB$8*(CA51*BX51))</f>
        <v>0</v>
      </c>
      <c r="CD51" s="7">
        <f>CB51-CC51</f>
        <v>0</v>
      </c>
      <c r="CE51" s="2"/>
      <c r="CF51" s="2"/>
      <c r="CG51" s="2"/>
    </row>
    <row r="52" spans="6:85">
      <c r="F52" s="2"/>
      <c r="G52" s="2"/>
      <c r="H52" s="2"/>
      <c r="I52" s="2"/>
      <c r="J52" s="2"/>
      <c r="K52" s="2"/>
      <c r="L52" s="2"/>
      <c r="M52" s="2"/>
      <c r="N52" s="2"/>
      <c r="O52" s="2"/>
      <c r="P52" s="2"/>
      <c r="Q52" s="2"/>
      <c r="R52" s="2"/>
      <c r="S52" s="2"/>
      <c r="U52" s="2"/>
      <c r="V52" s="2"/>
      <c r="W52" s="2"/>
      <c r="X52" s="2"/>
      <c r="Y52" s="2"/>
      <c r="Z52" s="2"/>
      <c r="AA52" s="2"/>
      <c r="AB52" s="2"/>
      <c r="AC52" s="2"/>
      <c r="AD52" s="2"/>
      <c r="AE52" s="2"/>
      <c r="AF52" s="2"/>
      <c r="AG52" s="2"/>
      <c r="AH52" s="2"/>
      <c r="AI52" s="2"/>
      <c r="AJ52" s="2"/>
      <c r="AK52" s="2"/>
      <c r="AL52" s="2"/>
      <c r="AM52" s="2"/>
      <c r="AN52" s="2"/>
      <c r="AO52" s="2"/>
      <c r="AP52" s="2"/>
      <c r="AQ52" s="2"/>
      <c r="AR52" s="2"/>
      <c r="AS52" s="2"/>
      <c r="AT52" s="2"/>
      <c r="AU52" s="2"/>
      <c r="AW52" s="2"/>
      <c r="AX52" s="2"/>
      <c r="AY52" s="2"/>
      <c r="AZ52" s="2"/>
      <c r="BA52" s="2"/>
      <c r="BB52" s="2"/>
      <c r="BC52" s="2"/>
      <c r="BD52" s="2"/>
      <c r="BE52" s="2"/>
      <c r="BF52" s="2"/>
      <c r="BG52" s="2"/>
      <c r="BH52" s="2"/>
      <c r="BK52" s="2"/>
      <c r="BL52" s="2"/>
      <c r="BM52" s="2"/>
      <c r="BN52" s="2"/>
      <c r="BO52" s="2"/>
      <c r="BP52" s="2"/>
      <c r="BQ52" s="2"/>
      <c r="BR52" s="2"/>
      <c r="BS52" s="2"/>
      <c r="BT52" s="2"/>
      <c r="BU52" s="2"/>
      <c r="BV52" s="2"/>
      <c r="BW52" s="2"/>
      <c r="BX52" s="2"/>
      <c r="BY52" s="2"/>
      <c r="BZ52" s="2"/>
      <c r="CA52" s="2"/>
      <c r="CB52" s="2"/>
      <c r="CC52" s="2"/>
      <c r="CD52" s="2"/>
      <c r="CE52" s="2"/>
      <c r="CF52" s="2"/>
      <c r="CG52" s="2"/>
    </row>
    <row r="53" spans="6:85">
      <c r="F53" s="2"/>
      <c r="G53" s="2"/>
      <c r="H53" s="2" t="s">
        <v>55</v>
      </c>
      <c r="I53" s="2"/>
      <c r="J53" s="2"/>
      <c r="K53" s="2"/>
      <c r="L53" s="2"/>
      <c r="M53" s="2"/>
      <c r="N53" s="2"/>
      <c r="O53" s="2"/>
      <c r="P53" s="2"/>
      <c r="Q53" s="2"/>
      <c r="R53" s="2"/>
      <c r="S53" s="2"/>
      <c r="U53" s="2"/>
      <c r="V53" s="2"/>
      <c r="W53" s="2" t="s">
        <v>55</v>
      </c>
      <c r="X53" s="2"/>
      <c r="Y53" s="2"/>
      <c r="Z53" s="2"/>
      <c r="AA53" s="2"/>
      <c r="AB53" s="2"/>
      <c r="AC53" s="2"/>
      <c r="AD53" s="2"/>
      <c r="AE53" s="2"/>
      <c r="AF53" s="2"/>
      <c r="AG53" s="2"/>
      <c r="AH53" s="2"/>
      <c r="AI53" s="2"/>
      <c r="AJ53" s="2"/>
      <c r="AK53" s="2" t="s">
        <v>55</v>
      </c>
      <c r="AL53" s="2"/>
      <c r="AM53" s="2"/>
      <c r="AN53" s="2"/>
      <c r="AO53" s="2"/>
      <c r="AP53" s="2"/>
      <c r="AQ53" s="2"/>
      <c r="AR53" s="2"/>
      <c r="AS53" s="2"/>
      <c r="AT53" s="2"/>
      <c r="AU53" s="2"/>
      <c r="AW53" s="2"/>
      <c r="AX53" s="2"/>
      <c r="AY53" s="2" t="s">
        <v>55</v>
      </c>
      <c r="AZ53" s="2"/>
      <c r="BA53" s="2"/>
      <c r="BB53" s="2"/>
      <c r="BC53" s="2"/>
      <c r="BD53" s="2"/>
      <c r="BE53" s="2"/>
      <c r="BF53" s="2"/>
      <c r="BG53" s="2"/>
      <c r="BH53" s="2"/>
      <c r="BK53" s="2"/>
      <c r="BL53" s="2"/>
      <c r="BM53" s="2" t="s">
        <v>55</v>
      </c>
      <c r="BN53" s="2"/>
      <c r="BO53" s="2"/>
      <c r="BP53" s="2"/>
      <c r="BQ53" s="2"/>
      <c r="BR53" s="2"/>
      <c r="BS53" s="2"/>
      <c r="BT53" s="2"/>
      <c r="BU53" s="2"/>
      <c r="BV53" s="2"/>
      <c r="BW53" s="2"/>
      <c r="BX53" s="2" t="s">
        <v>55</v>
      </c>
      <c r="BY53" s="2"/>
      <c r="BZ53" s="2"/>
      <c r="CA53" s="2"/>
      <c r="CB53" s="2"/>
      <c r="CC53" s="2"/>
      <c r="CD53" s="2"/>
      <c r="CE53" s="2"/>
      <c r="CF53" s="2"/>
      <c r="CG53" s="2"/>
    </row>
    <row r="54" spans="6:85">
      <c r="F54" s="2"/>
      <c r="G54" s="12" t="s">
        <v>56</v>
      </c>
      <c r="H54" s="12" t="s">
        <v>69</v>
      </c>
      <c r="I54" s="2" t="s">
        <v>58</v>
      </c>
      <c r="J54" s="2" t="s">
        <v>58</v>
      </c>
      <c r="K54" s="12" t="s">
        <v>59</v>
      </c>
      <c r="L54" s="2" t="s">
        <v>60</v>
      </c>
      <c r="M54" s="2" t="s">
        <v>61</v>
      </c>
      <c r="N54" s="2" t="s">
        <v>62</v>
      </c>
      <c r="O54" s="2"/>
      <c r="P54" s="2"/>
      <c r="Q54" s="2"/>
      <c r="R54" s="2"/>
      <c r="S54" s="2"/>
      <c r="U54" s="2"/>
      <c r="V54" s="12" t="s">
        <v>56</v>
      </c>
      <c r="W54" s="12" t="s">
        <v>69</v>
      </c>
      <c r="X54" s="2" t="s">
        <v>58</v>
      </c>
      <c r="Y54" s="2" t="s">
        <v>58</v>
      </c>
      <c r="Z54" s="12" t="s">
        <v>59</v>
      </c>
      <c r="AA54" s="2" t="s">
        <v>60</v>
      </c>
      <c r="AB54" s="2" t="s">
        <v>61</v>
      </c>
      <c r="AC54" s="2" t="s">
        <v>62</v>
      </c>
      <c r="AD54" s="2"/>
      <c r="AE54" s="2"/>
      <c r="AF54" s="2"/>
      <c r="AG54" s="2"/>
      <c r="AH54" s="2"/>
      <c r="AI54" s="2"/>
      <c r="AJ54" s="12" t="s">
        <v>56</v>
      </c>
      <c r="AK54" s="12" t="s">
        <v>69</v>
      </c>
      <c r="AL54" s="2" t="s">
        <v>58</v>
      </c>
      <c r="AM54" s="2" t="s">
        <v>58</v>
      </c>
      <c r="AN54" s="12" t="s">
        <v>59</v>
      </c>
      <c r="AO54" s="2" t="s">
        <v>60</v>
      </c>
      <c r="AP54" s="2" t="s">
        <v>61</v>
      </c>
      <c r="AQ54" s="2" t="s">
        <v>62</v>
      </c>
      <c r="AR54" s="2"/>
      <c r="AS54" s="2"/>
      <c r="AT54" s="2"/>
      <c r="AU54" s="2"/>
      <c r="AW54" s="2"/>
      <c r="AX54" s="12" t="s">
        <v>56</v>
      </c>
      <c r="AY54" s="12" t="s">
        <v>69</v>
      </c>
      <c r="AZ54" s="2" t="s">
        <v>58</v>
      </c>
      <c r="BA54" s="2" t="s">
        <v>58</v>
      </c>
      <c r="BB54" s="12" t="s">
        <v>59</v>
      </c>
      <c r="BC54" s="2" t="s">
        <v>60</v>
      </c>
      <c r="BD54" s="2" t="s">
        <v>61</v>
      </c>
      <c r="BE54" s="2" t="s">
        <v>62</v>
      </c>
      <c r="BF54" s="2"/>
      <c r="BG54" s="2"/>
      <c r="BH54" s="2"/>
      <c r="BK54" s="2"/>
      <c r="BL54" s="12" t="s">
        <v>56</v>
      </c>
      <c r="BM54" s="12" t="s">
        <v>69</v>
      </c>
      <c r="BN54" s="2" t="s">
        <v>58</v>
      </c>
      <c r="BO54" s="2" t="s">
        <v>58</v>
      </c>
      <c r="BP54" s="12" t="s">
        <v>59</v>
      </c>
      <c r="BQ54" s="2" t="s">
        <v>60</v>
      </c>
      <c r="BR54" s="2" t="s">
        <v>61</v>
      </c>
      <c r="BS54" s="2" t="s">
        <v>62</v>
      </c>
      <c r="BT54" s="2"/>
      <c r="BU54" s="2"/>
      <c r="BV54" s="2"/>
      <c r="BW54" s="12" t="s">
        <v>56</v>
      </c>
      <c r="BX54" s="12" t="s">
        <v>69</v>
      </c>
      <c r="BY54" s="2" t="s">
        <v>58</v>
      </c>
      <c r="BZ54" s="2" t="s">
        <v>58</v>
      </c>
      <c r="CA54" s="12" t="s">
        <v>59</v>
      </c>
      <c r="CB54" s="2" t="s">
        <v>60</v>
      </c>
      <c r="CC54" s="2" t="s">
        <v>61</v>
      </c>
      <c r="CD54" s="2" t="s">
        <v>62</v>
      </c>
      <c r="CE54" s="2"/>
      <c r="CF54" s="2"/>
      <c r="CG54" s="2"/>
    </row>
    <row r="55" spans="6:85">
      <c r="F55" s="2">
        <v>1</v>
      </c>
      <c r="G55" s="3" t="s">
        <v>63</v>
      </c>
      <c r="H55" s="3">
        <f>IF(I32=2, 0.4756, IF(I32=3, 0.2176, IF(I32=4, 0.0986, IF(I32=5, 0.0522, IF(I32=6, 0.0522, IF(I32= 7, 0.0522, IF(I32=8, 0.0522, IF(I32=9, 0.0522, IF(I32=1, 0.11796, "")))))))))</f>
        <v>0.47560000000000002</v>
      </c>
      <c r="I55" s="3" t="str">
        <f>IF((J$8=G55),F55,"")</f>
        <v/>
      </c>
      <c r="J55" s="3">
        <f>IFERROR(SMALL(I$55:I$60,F55),"")</f>
        <v>2</v>
      </c>
      <c r="K55" s="3">
        <f>IF(I32=1, 64.25, IF(I32=2, 69.333, IF(I32=3, 69.333, IF(I32=4, 69.333, IF(I32=5, 64.25, IF(I32=6,64.25, IF(I32=7,64.25, IF(I32=8, 64.25, IF(I32=9, 64.25,"")))))))))</f>
        <v>69.332999999999998</v>
      </c>
      <c r="L55" s="3" t="b">
        <f>IF(J$55=F55,J$10*(K55*H55))</f>
        <v>0</v>
      </c>
      <c r="M55" s="3" t="b">
        <f>IF(J$55=F55,J$11*(K55*H55))</f>
        <v>0</v>
      </c>
      <c r="N55" s="3">
        <f>((((L55-M55)/1000)*9320)*0.000001)*J6</f>
        <v>0</v>
      </c>
      <c r="O55" s="2" t="s">
        <v>64</v>
      </c>
      <c r="P55" s="2"/>
      <c r="Q55" s="2"/>
      <c r="R55" s="2"/>
      <c r="S55" s="2"/>
      <c r="U55" s="2">
        <v>1</v>
      </c>
      <c r="V55" s="3" t="s">
        <v>63</v>
      </c>
      <c r="W55" s="3">
        <f>IF(X32=2, 0.4756, IF(X32=3, 0.2176, IF(X32=4, 0.0986, IF(X32=5, 0.0522, IF(X32=6, 0.0522, IF(X32= 7, 0.0522, IF(X32=8, 0.0522, IF(X32=9, 0.0522, IF(X32=1, 0.11796, "")))))))))</f>
        <v>0.11796</v>
      </c>
      <c r="X55" s="3" t="str">
        <f>IF((K$8=V55),U55,"")</f>
        <v/>
      </c>
      <c r="Y55" s="3">
        <f>IFERROR(SMALL(X$55:X$60,U55),"")</f>
        <v>2</v>
      </c>
      <c r="Z55" s="3">
        <f>IF(X32=1, 64.25, IF(X32=2, 69.333, IF(X32=3, 69.333, IF(X32=4, 69.333, IF(X32=5, 64.25, IF(X32=6,64.25, IF(X32=7,64.25, IF(X32=8, 64.25, IF(X32=9, 64.25,"")))))))))</f>
        <v>64.25</v>
      </c>
      <c r="AA55" s="3" t="b">
        <f>IF(Y$55=U55,K$10*(Z55*W55))</f>
        <v>0</v>
      </c>
      <c r="AB55" s="3" t="b">
        <f>IF(Y$55=U55,K$11*(Z55*W55))</f>
        <v>0</v>
      </c>
      <c r="AC55" s="3">
        <f>((((AA55-AB55)/1000)*9320)*0.000001)*K6</f>
        <v>0</v>
      </c>
      <c r="AD55" s="2" t="s">
        <v>64</v>
      </c>
      <c r="AE55" s="2"/>
      <c r="AF55" s="2"/>
      <c r="AG55" s="2"/>
      <c r="AH55" s="2"/>
      <c r="AI55" s="2">
        <v>1</v>
      </c>
      <c r="AJ55" s="3" t="s">
        <v>63</v>
      </c>
      <c r="AK55" s="3" t="str">
        <f>IF(AL31=2, 0.4756, IF(AL31=3, 0.2176, IF(AL31=4, 0.0986, IF(AL31=5, 0.0522, IF(AL31=6, 0.0522, IF(AL31= 7, 0.0522, IF(AL31=8, 0.0522, IF(AL31=9, 0.0522, IF(AL31=1, 0.11796, "")))))))))</f>
        <v/>
      </c>
      <c r="AL55" s="3" t="str">
        <f>IF((L$8=AJ55),AI55,"")</f>
        <v/>
      </c>
      <c r="AM55" s="3" t="str">
        <f>IFERROR(SMALL(AL$55:AL$60,AI55),"")</f>
        <v/>
      </c>
      <c r="AN55" s="3" t="str">
        <f>IF(AL31=1, 64.25, IF(AL31=2, 69.333, IF(AL31=3, 69.333, IF(AL31=4, 69.333, IF(AL31=5, 64.25, IF(AL31=6,64.25, IF(AL31=7,64.25, IF(AL31=8, 64.25, IF(AL31=9, 64.25,"")))))))))</f>
        <v/>
      </c>
      <c r="AO55" s="3" t="b">
        <f>IF(AM$55=AI55,L$10*(AN55*AK55))</f>
        <v>0</v>
      </c>
      <c r="AP55" s="3" t="b">
        <f>IF(AM$55=AI55,L$11*(AN55*AK55))</f>
        <v>0</v>
      </c>
      <c r="AQ55" s="3">
        <f>((((AO55-AP55)/1000)*9320)*0.000001)*L6</f>
        <v>0</v>
      </c>
      <c r="AR55" s="2" t="s">
        <v>64</v>
      </c>
      <c r="AS55" s="2"/>
      <c r="AT55" s="2"/>
      <c r="AU55" s="2"/>
      <c r="AW55" s="2">
        <v>1</v>
      </c>
      <c r="AX55" s="3" t="s">
        <v>63</v>
      </c>
      <c r="AY55" s="3" t="str">
        <f>IF(AZ31=2, 0.4756, IF(AZ31=3, 0.2176, IF(AZ31=4, 0.0986, IF(AZ31=5, 0.0522, IF(AZ31=6, 0.0522, IF(AZ31= 7, 0.0522, IF(AZ31=8, 0.0522, IF(AZ31=9, 0.0522, IF(AZ31=1, 0.11796, "")))))))))</f>
        <v/>
      </c>
      <c r="AZ55" s="3" t="str">
        <f>IF((M$8=AX55),AW55,"")</f>
        <v/>
      </c>
      <c r="BA55" s="3" t="str">
        <f>IFERROR(SMALL(AZ$55:AZ$60,AW55),"")</f>
        <v/>
      </c>
      <c r="BB55" s="3" t="str">
        <f>IF(AZ31=1, 64.25, IF(AZ31=2, 69.333, IF(AZ31=3, 69.333, IF(AZ31=4, 69.333, IF(AZ31=5, 64.25, IF(AZ31=6,64.25, IF(AZ31=7,64.25, IF(AZ31=8, 64.25, IF(AZ31=9, 64.25,"")))))))))</f>
        <v/>
      </c>
      <c r="BC55" s="3" t="b">
        <f>IF(BA$55=AW55,M$10*(BB55*AY55))</f>
        <v>0</v>
      </c>
      <c r="BD55" s="3" t="b">
        <f>IF(BA$55=AW55,M$11*(BB55*AY55))</f>
        <v>0</v>
      </c>
      <c r="BE55" s="3">
        <f>((((BC55-BD55)/1000)*9320)*0.000001)*M6</f>
        <v>0</v>
      </c>
      <c r="BF55" s="2" t="s">
        <v>64</v>
      </c>
      <c r="BG55" s="2"/>
      <c r="BH55" s="2"/>
      <c r="BK55" s="2">
        <v>1</v>
      </c>
      <c r="BL55" s="3" t="s">
        <v>63</v>
      </c>
      <c r="BM55" s="3" t="str">
        <f>IF(BN30=2, 0.4756, IF(BN30=3, 0.2176, IF(BN30=4, 0.0986, IF(BN30=5, 0.0522, IF(BN30=6, 0.0522, IF(BN30= 7, 0.0522, IF(BN30=8, 0.0522, IF(BN30=9, 0.0522, IF(BN30=1, 0.11796, "")))))))))</f>
        <v/>
      </c>
      <c r="BN55" s="3" t="str">
        <f>IF((N$8=BL55),BK55,"")</f>
        <v/>
      </c>
      <c r="BO55" s="3" t="str">
        <f>IFERROR(SMALL(BN$55:BN$60,BK55),"")</f>
        <v/>
      </c>
      <c r="BP55" s="3" t="str">
        <f>IF(BN30=1, 64.25, IF(BN30=2, 69.333, IF(BN30=3, 69.333, IF(BN30=4, 69.333, IF(BN30=5, 64.25, IF(BN30=6,64.25, IF(BN30=7,64.25, IF(BN30=8, 64.25, IF(BN30=9, 64.25,"")))))))))</f>
        <v/>
      </c>
      <c r="BQ55" s="3" t="b">
        <f>IF(BO$55=BK55,N$10*(BP55*BM55))</f>
        <v>0</v>
      </c>
      <c r="BR55" s="3" t="b">
        <f>IF(BO$55=BK55,N$11*(BP55*BM55))</f>
        <v>0</v>
      </c>
      <c r="BS55" s="3">
        <f>((((BQ55-BR55)/1000)*9320)*0.000001)*N6</f>
        <v>0</v>
      </c>
      <c r="BT55" s="2" t="s">
        <v>64</v>
      </c>
      <c r="BU55" s="2"/>
      <c r="BV55" s="2">
        <v>1</v>
      </c>
      <c r="BW55" s="3" t="s">
        <v>63</v>
      </c>
      <c r="BX55" s="3" t="str">
        <f>IF(BY30=2, 0.4756, IF(BY30=3, 0.2176, IF(BY30=4, 0.0986, IF(BY30=5, 0.0522, IF(BY30=6, 0.0522, IF(BY30= 7, 0.0522, IF(BY30=8, 0.0522, IF(BY30=9, 0.0522, IF(BY30=1, 0.11796, "")))))))))</f>
        <v/>
      </c>
      <c r="BY55" s="3" t="str">
        <f>IF((O$8=BW55),BV55,"")</f>
        <v/>
      </c>
      <c r="BZ55" s="3" t="str">
        <f>IFERROR(SMALL(BY$55:BY$60,BV55),"")</f>
        <v/>
      </c>
      <c r="CA55" s="3" t="str">
        <f>IF(BY30=1, 64.25, IF(BY30=2, 69.333, IF(BY30=3, 69.333, IF(BY30=4, 69.333, IF(BY30=5, 64.25, IF(BY30=6,64.25, IF(BY30=7,64.25, IF(BY30=8, 64.25, IF(BY30=9, 64.25,"")))))))))</f>
        <v/>
      </c>
      <c r="CB55" s="3" t="b">
        <f>IF(BZ$55=BV55,O$10*(CA55*BX55))</f>
        <v>0</v>
      </c>
      <c r="CC55" s="3" t="b">
        <f>IF(BZ$55=BV55,O$11*(CA55*BX55))</f>
        <v>0</v>
      </c>
      <c r="CD55" s="3">
        <f>((((CB55-CC55)/1000)*9320)*0.000001)*O6</f>
        <v>0</v>
      </c>
      <c r="CE55" s="2" t="s">
        <v>64</v>
      </c>
      <c r="CF55" s="2"/>
      <c r="CG55" s="2"/>
    </row>
    <row r="56" spans="6:85">
      <c r="F56" s="2">
        <v>2</v>
      </c>
      <c r="G56" s="3" t="s">
        <v>19</v>
      </c>
      <c r="H56" s="3">
        <f>IF(I32=2, 0.0585, IF(I32=3, 0.0675, IF(I32=4, 0.1185, IF(I32=5, 0.014, IF(I32=6, 0.0086, IF(I32=7, 0.026, IF(I32=8, 0.026, IF(I32=9, 0.026, IF(I32=1, 0.021,"")))))))))</f>
        <v>5.8500000000000003E-2</v>
      </c>
      <c r="I56" s="3">
        <f>IF((J$8=G56),F56,"")</f>
        <v>2</v>
      </c>
      <c r="J56" s="3" t="str">
        <f>IFERROR(SMALL(I$55:I$60,F56),"")</f>
        <v/>
      </c>
      <c r="K56" s="3">
        <f>IF(I32=1, 55.333, IF(I32=2, 64, IF(I32=3, 64, IF(I32=4, 64, IF(I32=5, 55.333, IF(I32=6,55.333, IF(I32=7,55.333, IF(I32=8, 55.333, IF(I32=9, 55.333,"")))))))))</f>
        <v>64</v>
      </c>
      <c r="L56" s="3">
        <f>IF(J$55=F56,J$10*(K56*H56))</f>
        <v>374400</v>
      </c>
      <c r="M56" s="3">
        <f>IF(J$55=F56,J$11*(K56*H56))</f>
        <v>336960</v>
      </c>
      <c r="N56" s="3">
        <f>((((L56-M56)/1000)*14415)*0.000001)*J6</f>
        <v>0.5396976</v>
      </c>
      <c r="O56" s="2" t="s">
        <v>64</v>
      </c>
      <c r="P56" s="2"/>
      <c r="Q56" s="2"/>
      <c r="R56" s="2"/>
      <c r="S56" s="2"/>
      <c r="U56" s="2">
        <v>2</v>
      </c>
      <c r="V56" s="3" t="s">
        <v>19</v>
      </c>
      <c r="W56" s="3">
        <f>IF(X32=2, 0.0585, IF(X32=3, 0.0675, IF(X32=4, 0.1185, IF(X32=5, 0.014, IF(X32=6, 0.0086, IF(X32=7, 0.026, IF(X32=8, 0.026, IF(X32=9, 0.026, IF(X32=1, 0.021,"")))))))))</f>
        <v>2.1000000000000001E-2</v>
      </c>
      <c r="X56" s="3">
        <f>IF((K$8=V56),U56,"")</f>
        <v>2</v>
      </c>
      <c r="Y56" s="3" t="str">
        <f>IFERROR(SMALL(X$55:X$60,U56),"")</f>
        <v/>
      </c>
      <c r="Z56" s="3">
        <f>IF(X32=1, 55.333, IF(X32=2, 64, IF(X32=3, 64, IF(X32=4, 64, IF(X32=5, 55.333, IF(X32=6,55.333, IF(X32=7,55.333, IF(X32=8, 55.333, IF(X32=9, 55.333,"")))))))))</f>
        <v>55.332999999999998</v>
      </c>
      <c r="AA56" s="3">
        <f>IF(Y$55=U56,K$10*(Z56*W56))</f>
        <v>0</v>
      </c>
      <c r="AB56" s="3">
        <f>IF(Y$55=U56,K$11*(Z56*W56))</f>
        <v>0</v>
      </c>
      <c r="AC56" s="3">
        <f>((((AA56-AB56)/1000)*14415)*0.000001)*K6</f>
        <v>0</v>
      </c>
      <c r="AD56" s="2" t="s">
        <v>64</v>
      </c>
      <c r="AE56" s="2"/>
      <c r="AF56" s="2"/>
      <c r="AG56" s="2"/>
      <c r="AH56" s="2"/>
      <c r="AI56" s="2">
        <v>2</v>
      </c>
      <c r="AJ56" s="3" t="s">
        <v>19</v>
      </c>
      <c r="AK56" s="3" t="str">
        <f>IF(AL31=2, 0.0585, IF(AL31=3, 0.0675, IF(AL31=4, 0.1185, IF(AL31=5, 0.014, IF(AL31=6, 0.0086, IF(AL31=7, 0.026, IF(AL31=8, 0.026, IF(AL31=9, 0.026, IF(AL31=1, 0.021,"")))))))))</f>
        <v/>
      </c>
      <c r="AL56" s="3" t="str">
        <f>IF((L$8=AJ56),AI56,"")</f>
        <v/>
      </c>
      <c r="AM56" s="3" t="str">
        <f>IFERROR(SMALL(AL$55:AL$60,AI56),"")</f>
        <v/>
      </c>
      <c r="AN56" s="88" t="str">
        <f>IF(AL31=1, 55.333, IF(AL31=2, 64, IF(AL31=3, 64, IF(AL31=4, 64, IF(AL31=5, 55.333, IF(AL31=6,55.333, IF(AL31=7,55.333, IF(AL31=8, 55.333, IF(AL31=9, 55.333,"")))))))))</f>
        <v/>
      </c>
      <c r="AO56" s="3" t="b">
        <f>IF(AM$55=AI56,L$10*(AN56*AK56))</f>
        <v>0</v>
      </c>
      <c r="AP56" s="3" t="b">
        <f>IF(AM$55=AI56,L$11*(AN56*AK56))</f>
        <v>0</v>
      </c>
      <c r="AQ56" s="3">
        <f>((((AO56-AP56)/1000)*14415)*0.000001)*L6</f>
        <v>0</v>
      </c>
      <c r="AR56" s="2" t="s">
        <v>64</v>
      </c>
      <c r="AS56" s="2"/>
      <c r="AT56" s="2"/>
      <c r="AU56" s="2"/>
      <c r="AW56" s="2">
        <v>2</v>
      </c>
      <c r="AX56" s="3" t="s">
        <v>19</v>
      </c>
      <c r="AY56" s="3" t="str">
        <f>IF(AZ31=2, 0.0585, IF(AZ31=3, 0.0675, IF(AZ31=4, 0.1185, IF(AZ31=5, 0.014, IF(AZ31=6, 0.0086, IF(AZ31=7, 0.026, IF(AZ31=8, 0.026, IF(AZ31=9, 0.026, IF(AZ31=1, 0.021,"")))))))))</f>
        <v/>
      </c>
      <c r="AZ56" s="3" t="str">
        <f>IF((M$8=AX56),AW56,"")</f>
        <v/>
      </c>
      <c r="BA56" s="3" t="str">
        <f>IFERROR(SMALL(AZ$55:AZ$60,AW56),"")</f>
        <v/>
      </c>
      <c r="BB56" s="88" t="str">
        <f>IF(AZ31=1, 55.333, IF(AZ31=2, 64, IF(AZ31=3, 64, IF(AZ31=4, 64, IF(AZ31=5, 55.333, IF(AZ31=6,55.333, IF(AZ31=7,55.333, IF(AZ31=8, 55.333, IF(AZ31=9, 55.333,"")))))))))</f>
        <v/>
      </c>
      <c r="BC56" s="3" t="b">
        <f>IF(BA$55=AW56,M$10*(BB56*AY56))</f>
        <v>0</v>
      </c>
      <c r="BD56" s="3" t="b">
        <f>IF(BA$55=AW56,M$11*(BB56*AY56))</f>
        <v>0</v>
      </c>
      <c r="BE56" s="3">
        <f>((((BC56-BD56)/1000)*14415)*0.000001)*M6</f>
        <v>0</v>
      </c>
      <c r="BF56" s="2" t="s">
        <v>64</v>
      </c>
      <c r="BG56" s="2"/>
      <c r="BH56" s="2"/>
      <c r="BK56" s="2">
        <v>2</v>
      </c>
      <c r="BL56" s="3" t="s">
        <v>19</v>
      </c>
      <c r="BM56" s="3" t="str">
        <f>IF(BN30=2, 0.0585, IF(BN30=3, 0.0675, IF(BN30=4, 0.1185, IF(BN30=5, 0.014, IF(BN30=6, 0.0086, IF(BN30=7, 0.026, IF(BN30=8, 0.026, IF(BN30=9, 0.026, IF(BN30=1, 0.021,"")))))))))</f>
        <v/>
      </c>
      <c r="BN56" s="3" t="str">
        <f>IF((N$8=BL56),BK56,"")</f>
        <v/>
      </c>
      <c r="BO56" s="3" t="str">
        <f>IFERROR(SMALL(BN$55:BN$60,BK56),"")</f>
        <v/>
      </c>
      <c r="BP56" s="88" t="str">
        <f>IF(BN30=1, 55.333, IF(BN30=2, 64, IF(BN30=3, 64, IF(BN30=4, 64, IF(BN30=5, 55.333, IF(BN30=6,55.333, IF(BN30=7,55.333, IF(BN30=8, 55.333, IF(BN30=9, 55.333,"")))))))))</f>
        <v/>
      </c>
      <c r="BQ56" s="3" t="b">
        <f>IF(BO$55=BK56,N$10*(BP56*BM56))</f>
        <v>0</v>
      </c>
      <c r="BR56" s="3" t="b">
        <f>IF(BO$55=BK56,N$11*(BP56*BM56))</f>
        <v>0</v>
      </c>
      <c r="BS56" s="3">
        <f>((((BQ56-BR56)/1000)*14415)*0.000001)*N6</f>
        <v>0</v>
      </c>
      <c r="BT56" s="2" t="s">
        <v>64</v>
      </c>
      <c r="BU56" s="2"/>
      <c r="BV56" s="2">
        <v>2</v>
      </c>
      <c r="BW56" s="3" t="s">
        <v>19</v>
      </c>
      <c r="BX56" s="3" t="str">
        <f>IF(BY30=2, 0.0585, IF(BY30=3, 0.0675, IF(BY30=4, 0.1185, IF(BY30=5, 0.014, IF(BY30=6, 0.0086, IF(BY30=7, 0.026, IF(BY30=8, 0.026, IF(BY30=9, 0.026, IF(BY30=1, 0.021,"")))))))))</f>
        <v/>
      </c>
      <c r="BY56" s="3" t="str">
        <f>IF((O$8=BW56),BV56,"")</f>
        <v/>
      </c>
      <c r="BZ56" s="3" t="str">
        <f>IFERROR(SMALL(BY$55:BY$60,BV56),"")</f>
        <v/>
      </c>
      <c r="CA56" s="88" t="str">
        <f>IF(BY30=1, 55.333, IF(BY30=2, 64, IF(BY30=3, 64, IF(BY30=4, 64, IF(BY30=5, 55.333, IF(BY30=6,55.333, IF(BY30=7,55.333, IF(BY30=8, 55.333, IF(BY30=9, 55.333,"")))))))))</f>
        <v/>
      </c>
      <c r="CB56" s="3" t="b">
        <f>IF(BZ$55=BV56,O$10*(CA56*BX56))</f>
        <v>0</v>
      </c>
      <c r="CC56" s="3" t="b">
        <f>IF(BZ$55=BV56,O$11*(CA56*BX56))</f>
        <v>0</v>
      </c>
      <c r="CD56" s="3">
        <f>((((CB56-CC56)/1000)*14415)*0.000001)*O6</f>
        <v>0</v>
      </c>
      <c r="CE56" s="2" t="s">
        <v>64</v>
      </c>
      <c r="CF56" s="2"/>
      <c r="CG56" s="2"/>
    </row>
    <row r="57" spans="6:85">
      <c r="F57" s="2">
        <v>3</v>
      </c>
      <c r="G57" s="3" t="s">
        <v>65</v>
      </c>
      <c r="H57" s="3">
        <f>IF(N32=2, 0.723, IF(N32=3, 0.342, IF(N32=4, 0.12, IF(N32=5, 0.1, IF(N32=6, 0.1, IF(N32=7, 0.1, IF(N32=1, 0.2475,"")))))))</f>
        <v>0.72299999999999998</v>
      </c>
      <c r="I57" s="3" t="str">
        <f>IF((J$8=G57),F57,"")</f>
        <v/>
      </c>
      <c r="J57" s="3" t="str">
        <f>IFERROR(SMALL(I$55:I$60,F57),"")</f>
        <v/>
      </c>
      <c r="K57" s="3">
        <f>57</f>
        <v>57</v>
      </c>
      <c r="L57" s="3" t="b">
        <f>IF(J$55=F57,J$10*(K57*H57))</f>
        <v>0</v>
      </c>
      <c r="M57" s="3" t="b">
        <f>IF(J$55=F57,J$11*(K57*H57))</f>
        <v>0</v>
      </c>
      <c r="N57" s="3">
        <f>((((L57-M57)/1000)*12310)*0.000001)*J6</f>
        <v>0</v>
      </c>
      <c r="O57" s="2" t="s">
        <v>64</v>
      </c>
      <c r="P57" s="2"/>
      <c r="Q57" s="2"/>
      <c r="R57" s="2"/>
      <c r="S57" s="2"/>
      <c r="U57" s="2">
        <v>3</v>
      </c>
      <c r="V57" s="3" t="s">
        <v>65</v>
      </c>
      <c r="W57" s="3">
        <f>IF(AC32=2, 0.723, IF(AC32=3, 0.342, IF(AC32=4, 0.12, IF(AC32=5, 0.1, IF(AC32=6, 0.1, IF(AC32=7, 0.1, IF(AC32=1, 0.2475,"")))))))</f>
        <v>0.2475</v>
      </c>
      <c r="X57" s="3" t="str">
        <f>IF((K$8=V57),U57,"")</f>
        <v/>
      </c>
      <c r="Y57" s="3" t="str">
        <f>IFERROR(SMALL(X$55:X$60,U57),"")</f>
        <v/>
      </c>
      <c r="Z57" s="3">
        <f>57</f>
        <v>57</v>
      </c>
      <c r="AA57" s="3" t="b">
        <f>IF(Y$55=U57,K$10*(Z57*W57))</f>
        <v>0</v>
      </c>
      <c r="AB57" s="3" t="b">
        <f>IF(Y$55=U57,K$11*(Z57*W57))</f>
        <v>0</v>
      </c>
      <c r="AC57" s="3">
        <f>((((AA57-AB57)/1000)*12310)*0.000001)*K6</f>
        <v>0</v>
      </c>
      <c r="AD57" s="2" t="s">
        <v>64</v>
      </c>
      <c r="AE57" s="2"/>
      <c r="AF57" s="2"/>
      <c r="AG57" s="2"/>
      <c r="AH57" s="2"/>
      <c r="AI57" s="2">
        <v>3</v>
      </c>
      <c r="AJ57" s="3" t="s">
        <v>65</v>
      </c>
      <c r="AK57" s="3" t="str">
        <f>IF(AQ31=2, 0.723, IF(AQ31=3, 0.342, IF(AQ31=4, 0.12, IF(AQ31=5, 0.1, IF(AQ31=6, 0.1, IF(AQ31=7, 0.1, IF(AQ31=1, 0.2475,"")))))))</f>
        <v/>
      </c>
      <c r="AL57" s="3" t="str">
        <f>IF((L$8=AJ57),AI57,"")</f>
        <v/>
      </c>
      <c r="AM57" s="3" t="str">
        <f>IFERROR(SMALL(AL$55:AL$60,AI57),"")</f>
        <v/>
      </c>
      <c r="AN57" s="3">
        <f>57</f>
        <v>57</v>
      </c>
      <c r="AO57" s="3" t="b">
        <f>IF(AM$55=AI57,L$10*(AN57*AK57))</f>
        <v>0</v>
      </c>
      <c r="AP57" s="3" t="b">
        <f>IF(AM$55=AI57,L$11*(AN57*AK57))</f>
        <v>0</v>
      </c>
      <c r="AQ57" s="3">
        <f>((((AO57-AP57)/1000)*12310)*0.000001)*L6</f>
        <v>0</v>
      </c>
      <c r="AR57" s="2" t="s">
        <v>64</v>
      </c>
      <c r="AS57" s="2"/>
      <c r="AT57" s="2"/>
      <c r="AU57" s="2"/>
      <c r="AW57" s="2">
        <v>3</v>
      </c>
      <c r="AX57" s="3" t="s">
        <v>65</v>
      </c>
      <c r="AY57" s="3" t="str">
        <f>IF(BE31=2, 0.723, IF(BE31=3, 0.342, IF(BE31=4, 0.12, IF(BE31=5, 0.1, IF(BE31=6, 0.1, IF(BE31=7, 0.1, IF(BE31=1, 0.2475,"")))))))</f>
        <v/>
      </c>
      <c r="AZ57" s="3" t="str">
        <f>IF((M$8=AX57),AW57,"")</f>
        <v/>
      </c>
      <c r="BA57" s="3" t="str">
        <f>IFERROR(SMALL(AZ$55:AZ$60,AW57),"")</f>
        <v/>
      </c>
      <c r="BB57" s="3">
        <f>57</f>
        <v>57</v>
      </c>
      <c r="BC57" s="3" t="b">
        <f>IF(BA$55=AW57,M$10*(BB57*AY57))</f>
        <v>0</v>
      </c>
      <c r="BD57" s="3" t="b">
        <f>IF(BA$55=AW57,M$11*(BB57*AY57))</f>
        <v>0</v>
      </c>
      <c r="BE57" s="3">
        <f>((((BC57-BD57)/1000)*12310)*0.000001)*M6</f>
        <v>0</v>
      </c>
      <c r="BF57" s="2" t="s">
        <v>64</v>
      </c>
      <c r="BG57" s="2"/>
      <c r="BH57" s="2"/>
      <c r="BK57" s="2">
        <v>3</v>
      </c>
      <c r="BL57" s="3" t="s">
        <v>65</v>
      </c>
      <c r="BM57" s="3" t="str">
        <f>IF(BS30=2, 0.723, IF(BS30=3, 0.342, IF(BS30=4, 0.12, IF(BS30=5, 0.1, IF(BS30=6, 0.1, IF(BS30=7, 0.1, IF(BS30=1, 0.2475,"")))))))</f>
        <v/>
      </c>
      <c r="BN57" s="3" t="str">
        <f>IF((N$8=BL57),BK57,"")</f>
        <v/>
      </c>
      <c r="BO57" s="3" t="str">
        <f>IFERROR(SMALL(BN$55:BN$60,BK57),"")</f>
        <v/>
      </c>
      <c r="BP57" s="3">
        <f>57</f>
        <v>57</v>
      </c>
      <c r="BQ57" s="3" t="b">
        <f>IF(BO$55=BK57,N$10*(BP57*BM57))</f>
        <v>0</v>
      </c>
      <c r="BR57" s="3" t="b">
        <f>IF(BO$55=BK57,N$11*(BP57*BM57))</f>
        <v>0</v>
      </c>
      <c r="BS57" s="3">
        <f>((((BQ57-BR57)/1000)*12310)*0.000001)*N6</f>
        <v>0</v>
      </c>
      <c r="BT57" s="2" t="s">
        <v>64</v>
      </c>
      <c r="BU57" s="2"/>
      <c r="BV57" s="2">
        <v>3</v>
      </c>
      <c r="BW57" s="3" t="s">
        <v>65</v>
      </c>
      <c r="BX57" s="3" t="str">
        <f>IF(CD30=2, 0.723, IF(CD30=3, 0.342, IF(CD30=4, 0.12, IF(CD30=5, 0.1, IF(CD30=6, 0.1, IF(CD30=7, 0.1, IF(CD30=1, 0.2475,"")))))))</f>
        <v/>
      </c>
      <c r="BY57" s="3" t="str">
        <f>IF((O$8=BW57),BV57,"")</f>
        <v/>
      </c>
      <c r="BZ57" s="3" t="str">
        <f>IFERROR(SMALL(BY$55:BY$60,BV57),"")</f>
        <v/>
      </c>
      <c r="CA57" s="3">
        <f>57</f>
        <v>57</v>
      </c>
      <c r="CB57" s="3" t="b">
        <f>IF(BZ$55=BV57,O$10*(CA57*BX57))</f>
        <v>0</v>
      </c>
      <c r="CC57" s="3" t="b">
        <f>IF(BZ$55=BV57,O$11*(CA57*BX57))</f>
        <v>0</v>
      </c>
      <c r="CD57" s="3">
        <f>((((CB57-CC57)/1000)*12310)*0.000001)*O6</f>
        <v>0</v>
      </c>
      <c r="CE57" s="2" t="s">
        <v>64</v>
      </c>
      <c r="CF57" s="2"/>
      <c r="CG57" s="2"/>
    </row>
    <row r="58" spans="6:85">
      <c r="F58" s="11">
        <v>4</v>
      </c>
      <c r="G58" s="7" t="s">
        <v>66</v>
      </c>
      <c r="H58" s="7">
        <v>2E-3</v>
      </c>
      <c r="I58" s="7" t="str">
        <f>IF((Q$8=G58),F58,"")</f>
        <v/>
      </c>
      <c r="J58" s="7" t="str">
        <f>IFERROR(SMALL(I$60:I$65,F58),"")</f>
        <v/>
      </c>
      <c r="K58" s="7">
        <f>39.57</f>
        <v>39.57</v>
      </c>
      <c r="L58" s="7" t="b">
        <f>IF(J$60=F58,I$8*(K58*H58))</f>
        <v>0</v>
      </c>
      <c r="M58" s="7" t="b">
        <f>IF(J$60=F58,L$8*(K58*H58))</f>
        <v>0</v>
      </c>
      <c r="N58" s="7">
        <f>L58-M58</f>
        <v>0</v>
      </c>
      <c r="O58" s="2"/>
      <c r="P58" s="2"/>
      <c r="Q58" s="2"/>
      <c r="R58" s="2"/>
      <c r="S58" s="2"/>
      <c r="U58" s="11">
        <v>4</v>
      </c>
      <c r="V58" s="7" t="s">
        <v>66</v>
      </c>
      <c r="W58" s="7">
        <v>2E-3</v>
      </c>
      <c r="X58" s="7" t="str">
        <f>IF((AF$8=V58),U58,"")</f>
        <v/>
      </c>
      <c r="Y58" s="7" t="str">
        <f>IFERROR(SMALL(X$60:X$65,U58),"")</f>
        <v/>
      </c>
      <c r="Z58" s="7">
        <f>39.57</f>
        <v>39.57</v>
      </c>
      <c r="AA58" s="7" t="b">
        <f>IF(Y$60=U58,X$8*(Z58*W58))</f>
        <v>0</v>
      </c>
      <c r="AB58" s="7" t="b">
        <f>IF(Y$60=U58,AA$8*(Z58*W58))</f>
        <v>0</v>
      </c>
      <c r="AC58" s="7">
        <f>AA58-AB58</f>
        <v>0</v>
      </c>
      <c r="AD58" s="2"/>
      <c r="AE58" s="2"/>
      <c r="AF58" s="2"/>
      <c r="AG58" s="2"/>
      <c r="AH58" s="2"/>
      <c r="AI58" s="11">
        <v>4</v>
      </c>
      <c r="AJ58" s="7" t="s">
        <v>66</v>
      </c>
      <c r="AK58" s="7">
        <v>2E-3</v>
      </c>
      <c r="AL58" s="7" t="str">
        <f>IF((AT$8=AJ58),AI58,"")</f>
        <v/>
      </c>
      <c r="AM58" s="7" t="str">
        <f>IFERROR(SMALL(AL$60:AL$65,AI58),"")</f>
        <v/>
      </c>
      <c r="AN58" s="7">
        <f>39.57</f>
        <v>39.57</v>
      </c>
      <c r="AO58" s="7" t="b">
        <f>IF(AM$60=AI58,AL$8*(AN58*AK58))</f>
        <v>0</v>
      </c>
      <c r="AP58" s="7" t="b">
        <f>IF(AM$60=AI58,AO$8*(AN58*AK58))</f>
        <v>0</v>
      </c>
      <c r="AQ58" s="7">
        <f>AO58-AP58</f>
        <v>0</v>
      </c>
      <c r="AR58" s="2"/>
      <c r="AS58" s="2"/>
      <c r="AT58" s="2"/>
      <c r="AU58" s="2"/>
      <c r="AW58" s="11">
        <v>4</v>
      </c>
      <c r="AX58" s="7" t="s">
        <v>66</v>
      </c>
      <c r="AY58" s="7">
        <v>2E-3</v>
      </c>
      <c r="AZ58" s="7" t="str">
        <f>IF((BH$8=AX58),AW58,"")</f>
        <v/>
      </c>
      <c r="BA58" s="7" t="str">
        <f>IFERROR(SMALL(AZ$60:AZ$65,AW58),"")</f>
        <v/>
      </c>
      <c r="BB58" s="7">
        <f>39.57</f>
        <v>39.57</v>
      </c>
      <c r="BC58" s="7" t="b">
        <f>IF(BA$60=AW58,AZ$8*(BB58*AY58))</f>
        <v>0</v>
      </c>
      <c r="BD58" s="7" t="b">
        <f>IF(BA$60=AW58,BC$8*(BB58*AY58))</f>
        <v>0</v>
      </c>
      <c r="BE58" s="7">
        <f>BC58-BD58</f>
        <v>0</v>
      </c>
      <c r="BF58" s="2"/>
      <c r="BG58" s="2"/>
      <c r="BH58" s="2"/>
      <c r="BK58" s="11">
        <v>4</v>
      </c>
      <c r="BL58" s="7" t="s">
        <v>66</v>
      </c>
      <c r="BM58" s="7">
        <v>2E-3</v>
      </c>
      <c r="BN58" s="7" t="str">
        <f>IF((BV$8=BL58),BK58,"")</f>
        <v/>
      </c>
      <c r="BO58" s="7" t="str">
        <f>IFERROR(SMALL(BN$60:BN$65,BK58),"")</f>
        <v/>
      </c>
      <c r="BP58" s="7">
        <f>39.57</f>
        <v>39.57</v>
      </c>
      <c r="BQ58" s="7" t="b">
        <f>IF(BO$60=BK58,BN$8*(BP58*BM58))</f>
        <v>0</v>
      </c>
      <c r="BR58" s="7" t="b">
        <f>IF(BO$60=BK58,BQ$8*(BP58*BM58))</f>
        <v>0</v>
      </c>
      <c r="BS58" s="7">
        <f>BQ58-BR58</f>
        <v>0</v>
      </c>
      <c r="BT58" s="2"/>
      <c r="BU58" s="2"/>
      <c r="BV58" s="11">
        <v>4</v>
      </c>
      <c r="BW58" s="7" t="s">
        <v>66</v>
      </c>
      <c r="BX58" s="7">
        <v>2E-3</v>
      </c>
      <c r="BY58" s="7" t="str">
        <f>IF((CG$8=BW58),BV58,"")</f>
        <v/>
      </c>
      <c r="BZ58" s="7" t="str">
        <f>IFERROR(SMALL(BY$60:BY$65,BV58),"")</f>
        <v/>
      </c>
      <c r="CA58" s="7">
        <f>39.57</f>
        <v>39.57</v>
      </c>
      <c r="CB58" s="7" t="b">
        <f>IF(BZ$60=BV58,BY$8*(CA58*BX58))</f>
        <v>0</v>
      </c>
      <c r="CC58" s="7" t="b">
        <f>IF(BZ$60=BV58,CB$8*(CA58*BX58))</f>
        <v>0</v>
      </c>
      <c r="CD58" s="7">
        <f>CB58-CC58</f>
        <v>0</v>
      </c>
      <c r="CE58" s="2"/>
      <c r="CF58" s="2"/>
      <c r="CG58" s="2"/>
    </row>
    <row r="59" spans="6:85">
      <c r="F59" s="11">
        <v>5</v>
      </c>
      <c r="G59" s="7" t="s">
        <v>67</v>
      </c>
      <c r="H59" s="7">
        <v>3.5000000000000003E-2</v>
      </c>
      <c r="I59" s="7" t="str">
        <f>IF((Q$8=G59),F59,"")</f>
        <v/>
      </c>
      <c r="J59" s="7" t="str">
        <f>IFERROR(SMALL(I$60:I$65,F59),"")</f>
        <v/>
      </c>
      <c r="K59" s="7">
        <f>87</f>
        <v>87</v>
      </c>
      <c r="L59" s="7" t="b">
        <f>IF(J$60=F59,I$8*(K59*H59))</f>
        <v>0</v>
      </c>
      <c r="M59" s="7" t="b">
        <f>IF(J$60=F59,L$8*(K59*H59))</f>
        <v>0</v>
      </c>
      <c r="N59" s="7">
        <f>L59-M59</f>
        <v>0</v>
      </c>
      <c r="O59" s="2"/>
      <c r="P59" s="2"/>
      <c r="Q59" s="2"/>
      <c r="R59" s="2"/>
      <c r="S59" s="2"/>
      <c r="U59" s="11">
        <v>5</v>
      </c>
      <c r="V59" s="7" t="s">
        <v>67</v>
      </c>
      <c r="W59" s="7">
        <v>3.5000000000000003E-2</v>
      </c>
      <c r="X59" s="7" t="str">
        <f>IF((AF$8=V59),U59,"")</f>
        <v/>
      </c>
      <c r="Y59" s="7" t="str">
        <f>IFERROR(SMALL(X$60:X$65,U59),"")</f>
        <v/>
      </c>
      <c r="Z59" s="7">
        <f>87</f>
        <v>87</v>
      </c>
      <c r="AA59" s="7" t="b">
        <f>IF(Y$60=U59,X$8*(Z59*W59))</f>
        <v>0</v>
      </c>
      <c r="AB59" s="7" t="b">
        <f>IF(Y$60=U59,AA$8*(Z59*W59))</f>
        <v>0</v>
      </c>
      <c r="AC59" s="7">
        <f>AA59-AB59</f>
        <v>0</v>
      </c>
      <c r="AD59" s="2"/>
      <c r="AE59" s="2"/>
      <c r="AF59" s="2"/>
      <c r="AG59" s="2"/>
      <c r="AH59" s="2"/>
      <c r="AI59" s="11">
        <v>5</v>
      </c>
      <c r="AJ59" s="7" t="s">
        <v>67</v>
      </c>
      <c r="AK59" s="7">
        <v>3.5000000000000003E-2</v>
      </c>
      <c r="AL59" s="7" t="str">
        <f>IF((AT$8=AJ59),AI59,"")</f>
        <v/>
      </c>
      <c r="AM59" s="7" t="str">
        <f>IFERROR(SMALL(AL$60:AL$65,AI59),"")</f>
        <v/>
      </c>
      <c r="AN59" s="7">
        <f>87</f>
        <v>87</v>
      </c>
      <c r="AO59" s="7" t="b">
        <f>IF(AM$60=AI59,AL$8*(AN59*AK59))</f>
        <v>0</v>
      </c>
      <c r="AP59" s="7" t="b">
        <f>IF(AM$60=AI59,AO$8*(AN59*AK59))</f>
        <v>0</v>
      </c>
      <c r="AQ59" s="7">
        <f>AO59-AP59</f>
        <v>0</v>
      </c>
      <c r="AR59" s="2"/>
      <c r="AS59" s="2"/>
      <c r="AT59" s="2"/>
      <c r="AU59" s="2"/>
      <c r="AW59" s="11">
        <v>5</v>
      </c>
      <c r="AX59" s="7" t="s">
        <v>67</v>
      </c>
      <c r="AY59" s="7">
        <v>3.5000000000000003E-2</v>
      </c>
      <c r="AZ59" s="7" t="str">
        <f>IF((BH$8=AX59),AW59,"")</f>
        <v/>
      </c>
      <c r="BA59" s="7" t="str">
        <f>IFERROR(SMALL(AZ$60:AZ$65,AW59),"")</f>
        <v/>
      </c>
      <c r="BB59" s="7">
        <f>87</f>
        <v>87</v>
      </c>
      <c r="BC59" s="7" t="b">
        <f>IF(BA$60=AW59,AZ$8*(BB59*AY59))</f>
        <v>0</v>
      </c>
      <c r="BD59" s="7" t="b">
        <f>IF(BA$60=AW59,BC$8*(BB59*AY59))</f>
        <v>0</v>
      </c>
      <c r="BE59" s="7">
        <f>BC59-BD59</f>
        <v>0</v>
      </c>
      <c r="BF59" s="2"/>
      <c r="BG59" s="2"/>
      <c r="BH59" s="2"/>
      <c r="BK59" s="11">
        <v>5</v>
      </c>
      <c r="BL59" s="7" t="s">
        <v>67</v>
      </c>
      <c r="BM59" s="7">
        <v>3.5000000000000003E-2</v>
      </c>
      <c r="BN59" s="7" t="str">
        <f>IF((BV$8=BL59),BK59,"")</f>
        <v/>
      </c>
      <c r="BO59" s="7" t="str">
        <f>IFERROR(SMALL(BN$60:BN$65,BK59),"")</f>
        <v/>
      </c>
      <c r="BP59" s="7">
        <f>87</f>
        <v>87</v>
      </c>
      <c r="BQ59" s="7" t="b">
        <f>IF(BO$60=BK59,BN$8*(BP59*BM59))</f>
        <v>0</v>
      </c>
      <c r="BR59" s="7" t="b">
        <f>IF(BO$60=BK59,BQ$8*(BP59*BM59))</f>
        <v>0</v>
      </c>
      <c r="BS59" s="7">
        <f>BQ59-BR59</f>
        <v>0</v>
      </c>
      <c r="BT59" s="2"/>
      <c r="BU59" s="2"/>
      <c r="BV59" s="11">
        <v>5</v>
      </c>
      <c r="BW59" s="7" t="s">
        <v>67</v>
      </c>
      <c r="BX59" s="7">
        <v>3.5000000000000003E-2</v>
      </c>
      <c r="BY59" s="7" t="str">
        <f>IF((CG$8=BW59),BV59,"")</f>
        <v/>
      </c>
      <c r="BZ59" s="7" t="str">
        <f>IFERROR(SMALL(BY$60:BY$65,BV59),"")</f>
        <v/>
      </c>
      <c r="CA59" s="7">
        <f>87</f>
        <v>87</v>
      </c>
      <c r="CB59" s="7" t="b">
        <f>IF(BZ$60=BV59,BY$8*(CA59*BX59))</f>
        <v>0</v>
      </c>
      <c r="CC59" s="7" t="b">
        <f>IF(BZ$60=BV59,CB$8*(CA59*BX59))</f>
        <v>0</v>
      </c>
      <c r="CD59" s="7">
        <f>CB59-CC59</f>
        <v>0</v>
      </c>
      <c r="CE59" s="2"/>
      <c r="CF59" s="2"/>
      <c r="CG59" s="2"/>
    </row>
    <row r="60" spans="6:85">
      <c r="F60" s="11">
        <v>6</v>
      </c>
      <c r="G60" s="7" t="s">
        <v>68</v>
      </c>
      <c r="H60" s="7">
        <v>6.2E-2</v>
      </c>
      <c r="I60" s="7" t="str">
        <f>IF((Q$8=G60),F60,"")</f>
        <v/>
      </c>
      <c r="J60" s="7" t="str">
        <f>IFERROR(SMALL(I$60:I$65,F60),"")</f>
        <v/>
      </c>
      <c r="K60" s="7">
        <f>63</f>
        <v>63</v>
      </c>
      <c r="L60" s="7" t="b">
        <f>IF(J$60=F60,I$8*(K60*H60))</f>
        <v>0</v>
      </c>
      <c r="M60" s="7" t="b">
        <f>IF(J$60=F60,L$8*(K60*H60))</f>
        <v>0</v>
      </c>
      <c r="N60" s="7">
        <f>L60-M60</f>
        <v>0</v>
      </c>
      <c r="O60" s="2"/>
      <c r="P60" s="2"/>
      <c r="Q60" s="2"/>
      <c r="R60" s="2"/>
      <c r="S60" s="2"/>
      <c r="U60" s="11">
        <v>6</v>
      </c>
      <c r="V60" s="7" t="s">
        <v>68</v>
      </c>
      <c r="W60" s="7">
        <v>6.2E-2</v>
      </c>
      <c r="X60" s="7" t="str">
        <f>IF((AF$8=V60),U60,"")</f>
        <v/>
      </c>
      <c r="Y60" s="7" t="str">
        <f>IFERROR(SMALL(X$60:X$65,U60),"")</f>
        <v/>
      </c>
      <c r="Z60" s="7">
        <f>63</f>
        <v>63</v>
      </c>
      <c r="AA60" s="7" t="b">
        <f>IF(Y$60=U60,X$8*(Z60*W60))</f>
        <v>0</v>
      </c>
      <c r="AB60" s="7" t="b">
        <f>IF(Y$60=U60,AA$8*(Z60*W60))</f>
        <v>0</v>
      </c>
      <c r="AC60" s="7">
        <f>AA60-AB60</f>
        <v>0</v>
      </c>
      <c r="AD60" s="2"/>
      <c r="AE60" s="2"/>
      <c r="AF60" s="2"/>
      <c r="AG60" s="2"/>
      <c r="AH60" s="2"/>
      <c r="AI60" s="11">
        <v>6</v>
      </c>
      <c r="AJ60" s="7" t="s">
        <v>68</v>
      </c>
      <c r="AK60" s="7">
        <v>6.2E-2</v>
      </c>
      <c r="AL60" s="7" t="str">
        <f>IF((AT$8=AJ60),AI60,"")</f>
        <v/>
      </c>
      <c r="AM60" s="7" t="str">
        <f>IFERROR(SMALL(AL$60:AL$65,AI60),"")</f>
        <v/>
      </c>
      <c r="AN60" s="7">
        <f>63</f>
        <v>63</v>
      </c>
      <c r="AO60" s="7" t="b">
        <f>IF(AM$60=AI60,AL$8*(AN60*AK60))</f>
        <v>0</v>
      </c>
      <c r="AP60" s="7" t="b">
        <f>IF(AM$60=AI60,AO$8*(AN60*AK60))</f>
        <v>0</v>
      </c>
      <c r="AQ60" s="7">
        <f>AO60-AP60</f>
        <v>0</v>
      </c>
      <c r="AR60" s="2"/>
      <c r="AS60" s="2"/>
      <c r="AT60" s="2"/>
      <c r="AU60" s="2"/>
      <c r="AW60" s="11">
        <v>6</v>
      </c>
      <c r="AX60" s="7" t="s">
        <v>68</v>
      </c>
      <c r="AY60" s="7">
        <v>6.2E-2</v>
      </c>
      <c r="AZ60" s="7" t="str">
        <f>IF((BH$8=AX60),AW60,"")</f>
        <v/>
      </c>
      <c r="BA60" s="7" t="str">
        <f>IFERROR(SMALL(AZ$60:AZ$65,AW60),"")</f>
        <v/>
      </c>
      <c r="BB60" s="7">
        <f>63</f>
        <v>63</v>
      </c>
      <c r="BC60" s="7" t="b">
        <f>IF(BA$60=AW60,AZ$8*(BB60*AY60))</f>
        <v>0</v>
      </c>
      <c r="BD60" s="7" t="b">
        <f>IF(BA$60=AW60,BC$8*(BB60*AY60))</f>
        <v>0</v>
      </c>
      <c r="BE60" s="7">
        <f>BC60-BD60</f>
        <v>0</v>
      </c>
      <c r="BF60" s="2"/>
      <c r="BG60" s="2"/>
      <c r="BH60" s="2"/>
      <c r="BK60" s="11">
        <v>6</v>
      </c>
      <c r="BL60" s="7" t="s">
        <v>68</v>
      </c>
      <c r="BM60" s="7">
        <v>6.2E-2</v>
      </c>
      <c r="BN60" s="7" t="str">
        <f>IF((BV$8=BL60),BK60,"")</f>
        <v/>
      </c>
      <c r="BO60" s="7" t="str">
        <f>IFERROR(SMALL(BN$60:BN$65,BK60),"")</f>
        <v/>
      </c>
      <c r="BP60" s="7">
        <f>63</f>
        <v>63</v>
      </c>
      <c r="BQ60" s="7" t="b">
        <f>IF(BO$60=BK60,BN$8*(BP60*BM60))</f>
        <v>0</v>
      </c>
      <c r="BR60" s="7" t="b">
        <f>IF(BO$60=BK60,BQ$8*(BP60*BM60))</f>
        <v>0</v>
      </c>
      <c r="BS60" s="7">
        <f>BQ60-BR60</f>
        <v>0</v>
      </c>
      <c r="BT60" s="2"/>
      <c r="BU60" s="2"/>
      <c r="BV60" s="11">
        <v>6</v>
      </c>
      <c r="BW60" s="7" t="s">
        <v>68</v>
      </c>
      <c r="BX60" s="7">
        <v>6.2E-2</v>
      </c>
      <c r="BY60" s="7" t="str">
        <f>IF((CG$8=BW60),BV60,"")</f>
        <v/>
      </c>
      <c r="BZ60" s="7" t="str">
        <f>IFERROR(SMALL(BY$60:BY$65,BV60),"")</f>
        <v/>
      </c>
      <c r="CA60" s="7">
        <f>63</f>
        <v>63</v>
      </c>
      <c r="CB60" s="7" t="b">
        <f>IF(BZ$60=BV60,BY$8*(CA60*BX60))</f>
        <v>0</v>
      </c>
      <c r="CC60" s="7" t="b">
        <f>IF(BZ$60=BV60,CB$8*(CA60*BX60))</f>
        <v>0</v>
      </c>
      <c r="CD60" s="7">
        <f>CB60-CC60</f>
        <v>0</v>
      </c>
      <c r="CE60" s="2"/>
      <c r="CF60" s="2"/>
      <c r="CG60" s="2"/>
    </row>
    <row r="61" spans="6:85">
      <c r="F61" s="2"/>
      <c r="G61" s="2"/>
      <c r="H61" s="2"/>
      <c r="I61" s="2"/>
      <c r="J61" s="2"/>
      <c r="K61" s="2"/>
      <c r="L61" s="2"/>
      <c r="M61" s="2"/>
      <c r="N61" s="2"/>
      <c r="O61" s="2"/>
      <c r="P61" s="2"/>
      <c r="Q61" s="2"/>
      <c r="R61" s="2"/>
      <c r="S61" s="2"/>
      <c r="U61" s="2"/>
      <c r="V61" s="2"/>
      <c r="W61" s="2"/>
      <c r="X61" s="2"/>
      <c r="Y61" s="2"/>
      <c r="Z61" s="2"/>
      <c r="AA61" s="2"/>
      <c r="AB61" s="2"/>
      <c r="AC61" s="2"/>
      <c r="AD61" s="2"/>
      <c r="AE61" s="2"/>
      <c r="AF61" s="2"/>
      <c r="AG61" s="2"/>
      <c r="AH61" s="2"/>
      <c r="AI61" s="2"/>
      <c r="AJ61" s="2"/>
      <c r="AK61" s="2"/>
      <c r="AL61" s="2"/>
      <c r="AM61" s="2"/>
      <c r="AN61" s="2"/>
      <c r="AO61" s="2"/>
      <c r="AP61" s="2"/>
      <c r="AQ61" s="2"/>
      <c r="AR61" s="2"/>
      <c r="AS61" s="2"/>
      <c r="AT61" s="2"/>
      <c r="AU61" s="2"/>
      <c r="AW61" s="2"/>
      <c r="AX61" s="2"/>
      <c r="AY61" s="2"/>
      <c r="AZ61" s="2"/>
      <c r="BA61" s="2"/>
      <c r="BB61" s="2"/>
      <c r="BC61" s="2"/>
      <c r="BD61" s="2"/>
      <c r="BE61" s="2"/>
      <c r="BF61" s="2"/>
      <c r="BG61" s="2"/>
      <c r="BH61" s="2"/>
      <c r="BK61" s="2"/>
      <c r="BL61" s="2"/>
      <c r="BM61" s="2"/>
      <c r="BN61" s="2"/>
      <c r="BO61" s="2"/>
      <c r="BP61" s="2"/>
      <c r="BQ61" s="2"/>
      <c r="BR61" s="2"/>
      <c r="BS61" s="2"/>
      <c r="BT61" s="2"/>
      <c r="BU61" s="2"/>
      <c r="BV61" s="2"/>
      <c r="BW61" s="2"/>
      <c r="BX61" s="2"/>
      <c r="BY61" s="2"/>
      <c r="BZ61" s="2"/>
      <c r="CA61" s="2"/>
      <c r="CB61" s="2"/>
      <c r="CC61" s="2"/>
      <c r="CD61" s="2"/>
      <c r="CE61" s="2"/>
      <c r="CF61" s="2"/>
      <c r="CG61" s="2"/>
    </row>
    <row r="62" spans="6:85">
      <c r="F62" s="2"/>
      <c r="G62" s="2"/>
      <c r="H62" s="2"/>
      <c r="I62" s="2"/>
      <c r="J62" s="2"/>
      <c r="K62" s="2"/>
      <c r="L62" s="2"/>
      <c r="M62" s="2"/>
      <c r="N62" s="2"/>
      <c r="O62" s="2"/>
      <c r="P62" s="2"/>
      <c r="Q62" s="2"/>
      <c r="R62" s="2"/>
      <c r="S62" s="2"/>
      <c r="U62" s="2"/>
      <c r="V62" s="2"/>
      <c r="W62" s="2"/>
      <c r="X62" s="2"/>
      <c r="Y62" s="2"/>
      <c r="Z62" s="2"/>
      <c r="AA62" s="2"/>
      <c r="AB62" s="2"/>
      <c r="AC62" s="2"/>
      <c r="AD62" s="2"/>
      <c r="AE62" s="2"/>
      <c r="AF62" s="2"/>
      <c r="AG62" s="2"/>
      <c r="AH62" s="2"/>
      <c r="AI62" s="2"/>
      <c r="AJ62" s="2"/>
      <c r="AK62" s="2"/>
      <c r="AL62" s="2"/>
      <c r="AM62" s="2"/>
      <c r="AN62" s="2"/>
      <c r="AO62" s="2"/>
      <c r="AP62" s="2"/>
      <c r="AQ62" s="2"/>
      <c r="AR62" s="2"/>
      <c r="AS62" s="2"/>
      <c r="AT62" s="2"/>
      <c r="AU62" s="2"/>
      <c r="AW62" s="2"/>
      <c r="AX62" s="2"/>
      <c r="AY62" s="2"/>
      <c r="AZ62" s="2"/>
      <c r="BA62" s="2"/>
      <c r="BB62" s="2"/>
      <c r="BC62" s="2"/>
      <c r="BD62" s="2"/>
      <c r="BE62" s="2"/>
      <c r="BF62" s="2"/>
      <c r="BG62" s="2"/>
      <c r="BH62" s="2"/>
      <c r="BK62" s="2"/>
      <c r="BL62" s="2"/>
      <c r="BM62" s="2"/>
      <c r="BN62" s="2"/>
      <c r="BO62" s="2"/>
      <c r="BP62" s="2"/>
      <c r="BQ62" s="2"/>
      <c r="BR62" s="2"/>
      <c r="BS62" s="2"/>
      <c r="BT62" s="2"/>
      <c r="BU62" s="2"/>
      <c r="BV62" s="2"/>
      <c r="BW62" s="2"/>
      <c r="BX62" s="2"/>
      <c r="BY62" s="2"/>
      <c r="BZ62" s="2"/>
      <c r="CA62" s="2"/>
      <c r="CB62" s="2"/>
      <c r="CC62" s="2"/>
      <c r="CD62" s="2"/>
      <c r="CE62" s="2"/>
      <c r="CF62" s="2"/>
      <c r="CG62" s="2"/>
    </row>
    <row r="63" spans="6:85">
      <c r="F63" s="2"/>
      <c r="G63" s="2"/>
      <c r="H63" s="2" t="s">
        <v>55</v>
      </c>
      <c r="I63" s="2"/>
      <c r="J63" s="2"/>
      <c r="K63" s="2"/>
      <c r="L63" s="2"/>
      <c r="M63" s="2"/>
      <c r="N63" s="2"/>
      <c r="O63" s="2"/>
      <c r="P63" s="2"/>
      <c r="Q63" s="2"/>
      <c r="R63" s="2"/>
      <c r="S63" s="2"/>
      <c r="U63" s="2"/>
      <c r="V63" s="2"/>
      <c r="W63" s="2" t="s">
        <v>55</v>
      </c>
      <c r="X63" s="2"/>
      <c r="Y63" s="2"/>
      <c r="Z63" s="2"/>
      <c r="AA63" s="2"/>
      <c r="AB63" s="2"/>
      <c r="AC63" s="2"/>
      <c r="AD63" s="2"/>
      <c r="AE63" s="2"/>
      <c r="AF63" s="2"/>
      <c r="AG63" s="2"/>
      <c r="AH63" s="2"/>
      <c r="AI63" s="2"/>
      <c r="AJ63" s="2"/>
      <c r="AK63" s="2" t="s">
        <v>55</v>
      </c>
      <c r="AL63" s="2"/>
      <c r="AM63" s="2"/>
      <c r="AN63" s="2"/>
      <c r="AO63" s="2"/>
      <c r="AP63" s="2"/>
      <c r="AQ63" s="2"/>
      <c r="AR63" s="2"/>
      <c r="AS63" s="2"/>
      <c r="AT63" s="2"/>
      <c r="AU63" s="2"/>
      <c r="AW63" s="2"/>
      <c r="AX63" s="2"/>
      <c r="AY63" s="2" t="s">
        <v>55</v>
      </c>
      <c r="AZ63" s="2"/>
      <c r="BA63" s="2"/>
      <c r="BB63" s="2"/>
      <c r="BC63" s="2"/>
      <c r="BD63" s="2"/>
      <c r="BE63" s="2"/>
      <c r="BF63" s="2"/>
      <c r="BG63" s="2"/>
      <c r="BH63" s="2"/>
      <c r="BK63" s="2"/>
      <c r="BL63" s="2"/>
      <c r="BM63" s="2" t="s">
        <v>55</v>
      </c>
      <c r="BN63" s="2"/>
      <c r="BO63" s="2"/>
      <c r="BP63" s="2"/>
      <c r="BQ63" s="2"/>
      <c r="BR63" s="2"/>
      <c r="BS63" s="2"/>
      <c r="BT63" s="2"/>
      <c r="BU63" s="2"/>
      <c r="BV63" s="2"/>
      <c r="BW63" s="2"/>
      <c r="BX63" s="2" t="s">
        <v>55</v>
      </c>
      <c r="BY63" s="2"/>
      <c r="BZ63" s="2"/>
      <c r="CA63" s="2"/>
      <c r="CB63" s="2"/>
      <c r="CC63" s="2"/>
      <c r="CD63" s="2"/>
      <c r="CE63" s="2"/>
      <c r="CF63" s="2"/>
      <c r="CG63" s="2"/>
    </row>
    <row r="64" spans="6:85">
      <c r="F64" s="2"/>
      <c r="G64" s="12" t="s">
        <v>56</v>
      </c>
      <c r="H64" s="12" t="s">
        <v>70</v>
      </c>
      <c r="I64" s="2" t="s">
        <v>58</v>
      </c>
      <c r="J64" s="2" t="s">
        <v>58</v>
      </c>
      <c r="K64" s="12" t="s">
        <v>59</v>
      </c>
      <c r="L64" s="2" t="s">
        <v>60</v>
      </c>
      <c r="M64" s="2" t="s">
        <v>61</v>
      </c>
      <c r="N64" s="2" t="s">
        <v>62</v>
      </c>
      <c r="O64" s="2"/>
      <c r="P64" s="2"/>
      <c r="Q64" s="2"/>
      <c r="R64" s="2"/>
      <c r="S64" s="2"/>
      <c r="U64" s="2"/>
      <c r="V64" s="12" t="s">
        <v>56</v>
      </c>
      <c r="W64" s="12" t="s">
        <v>70</v>
      </c>
      <c r="X64" s="2" t="s">
        <v>58</v>
      </c>
      <c r="Y64" s="2" t="s">
        <v>58</v>
      </c>
      <c r="Z64" s="12" t="s">
        <v>59</v>
      </c>
      <c r="AA64" s="2" t="s">
        <v>60</v>
      </c>
      <c r="AB64" s="2" t="s">
        <v>61</v>
      </c>
      <c r="AC64" s="2" t="s">
        <v>62</v>
      </c>
      <c r="AD64" s="2"/>
      <c r="AE64" s="2"/>
      <c r="AF64" s="2"/>
      <c r="AG64" s="2"/>
      <c r="AH64" s="2"/>
      <c r="AI64" s="2"/>
      <c r="AJ64" s="12" t="s">
        <v>56</v>
      </c>
      <c r="AK64" s="12" t="s">
        <v>70</v>
      </c>
      <c r="AL64" s="2" t="s">
        <v>58</v>
      </c>
      <c r="AM64" s="2" t="s">
        <v>58</v>
      </c>
      <c r="AN64" s="12" t="s">
        <v>59</v>
      </c>
      <c r="AO64" s="2" t="s">
        <v>60</v>
      </c>
      <c r="AP64" s="2" t="s">
        <v>61</v>
      </c>
      <c r="AQ64" s="2" t="s">
        <v>62</v>
      </c>
      <c r="AR64" s="2"/>
      <c r="AS64" s="2"/>
      <c r="AT64" s="2"/>
      <c r="AU64" s="2"/>
      <c r="AW64" s="2"/>
      <c r="AX64" s="12" t="s">
        <v>56</v>
      </c>
      <c r="AY64" s="12" t="s">
        <v>70</v>
      </c>
      <c r="AZ64" s="2" t="s">
        <v>58</v>
      </c>
      <c r="BA64" s="2" t="s">
        <v>58</v>
      </c>
      <c r="BB64" s="12" t="s">
        <v>59</v>
      </c>
      <c r="BC64" s="2" t="s">
        <v>60</v>
      </c>
      <c r="BD64" s="2" t="s">
        <v>61</v>
      </c>
      <c r="BE64" s="2" t="s">
        <v>62</v>
      </c>
      <c r="BF64" s="2"/>
      <c r="BG64" s="2"/>
      <c r="BH64" s="2"/>
      <c r="BK64" s="2"/>
      <c r="BL64" s="12" t="s">
        <v>56</v>
      </c>
      <c r="BM64" s="12" t="s">
        <v>70</v>
      </c>
      <c r="BN64" s="2" t="s">
        <v>58</v>
      </c>
      <c r="BO64" s="2" t="s">
        <v>58</v>
      </c>
      <c r="BP64" s="12" t="s">
        <v>59</v>
      </c>
      <c r="BQ64" s="2" t="s">
        <v>60</v>
      </c>
      <c r="BR64" s="2" t="s">
        <v>61</v>
      </c>
      <c r="BS64" s="2" t="s">
        <v>62</v>
      </c>
      <c r="BT64" s="2"/>
      <c r="BU64" s="2"/>
      <c r="BV64" s="2"/>
      <c r="BW64" s="12" t="s">
        <v>56</v>
      </c>
      <c r="BX64" s="12" t="s">
        <v>70</v>
      </c>
      <c r="BY64" s="2" t="s">
        <v>58</v>
      </c>
      <c r="BZ64" s="2" t="s">
        <v>58</v>
      </c>
      <c r="CA64" s="12" t="s">
        <v>59</v>
      </c>
      <c r="CB64" s="2" t="s">
        <v>60</v>
      </c>
      <c r="CC64" s="2" t="s">
        <v>61</v>
      </c>
      <c r="CD64" s="2" t="s">
        <v>62</v>
      </c>
      <c r="CE64" s="2"/>
      <c r="CF64" s="2"/>
      <c r="CG64" s="2"/>
    </row>
    <row r="65" spans="6:85">
      <c r="F65" s="2">
        <v>1</v>
      </c>
      <c r="G65" s="3" t="s">
        <v>63</v>
      </c>
      <c r="H65" s="14">
        <f>IF(I32=2, 0.4593, IF(I32=3, 0.242, IF(I32=4, 0.0926, IF(I32=5, 0.058, IF(I32=6, 0.058, IF(I32=7, 0.058, IF(I32=8, 0.058, IF(I32=9, 0.058, IF(I32=1, 0.12455,"")))))))))</f>
        <v>0.45929999999999999</v>
      </c>
      <c r="I65" s="3" t="str">
        <f>IF((J$8=G65),F65,"")</f>
        <v/>
      </c>
      <c r="J65" s="3">
        <f>IFERROR(SMALL(I$65:I$70,F65),"")</f>
        <v>2</v>
      </c>
      <c r="K65" s="3">
        <f>IF(I32=1, 64.25, IF(I32=2, 69.333, IF(I32=3, 69.333, IF(I32=4, 69.333, IF(I32=5, 64.25, IF(I32=6,64.25, IF(I32=7,64.25, IF(I32=8, 64.25, IF(I32=9, 64.25,"")))))))))</f>
        <v>69.332999999999998</v>
      </c>
      <c r="L65" s="3" t="b">
        <f>IF(J$65=F65,J$10*(K65*H65))</f>
        <v>0</v>
      </c>
      <c r="M65" s="3" t="b">
        <f>IF(J$65=F65,J$11*(K65*H65))</f>
        <v>0</v>
      </c>
      <c r="N65" s="3">
        <f>((((L65-M65)/1000)*9320)*0.000001)*J6</f>
        <v>0</v>
      </c>
      <c r="O65" s="2" t="s">
        <v>64</v>
      </c>
      <c r="P65" s="2"/>
      <c r="Q65" s="2"/>
      <c r="R65" s="2"/>
      <c r="S65" s="2"/>
      <c r="U65" s="2">
        <v>1</v>
      </c>
      <c r="V65" s="3" t="s">
        <v>63</v>
      </c>
      <c r="W65" s="14">
        <f>IF(X32=2, 0.4593, IF(X32=3, 0.242, IF(X32=4, 0.0926, IF(X32=5, 0.058, IF(X32=6, 0.058, IF(X32=7, 0.058, IF(X32=8, 0.058, IF(X32=9, 0.058, IF(X32=1, 0.12455,"")))))))))</f>
        <v>0.12454999999999999</v>
      </c>
      <c r="X65" s="3" t="str">
        <f>IF((K$8=V65),U65,"")</f>
        <v/>
      </c>
      <c r="Y65" s="3">
        <f>IFERROR(SMALL(X$65:X$70,U65),"")</f>
        <v>2</v>
      </c>
      <c r="Z65" s="3">
        <f>IF(X32=1, 64.25, IF(X32=2, 69.333, IF(X32=3, 69.333, IF(X32=4, 69.333, IF(X32=5, 64.25, IF(X32=6,64.25, IF(X32=7,64.25, IF(X32=8, 64.25, IF(X32=9, 64.25,"")))))))))</f>
        <v>64.25</v>
      </c>
      <c r="AA65" s="3" t="b">
        <f>IF(Y$65=U65,K$10*(Z65*W65))</f>
        <v>0</v>
      </c>
      <c r="AB65" s="3" t="b">
        <f>IF(Y$65=U65,K$11*(Z65*W65))</f>
        <v>0</v>
      </c>
      <c r="AC65" s="3">
        <f>((((AA65-AB65)/1000)*9320)*0.000001)*K6</f>
        <v>0</v>
      </c>
      <c r="AD65" s="2" t="s">
        <v>64</v>
      </c>
      <c r="AE65" s="2"/>
      <c r="AF65" s="2"/>
      <c r="AG65" s="2"/>
      <c r="AH65" s="2"/>
      <c r="AI65" s="2">
        <v>1</v>
      </c>
      <c r="AJ65" s="3" t="s">
        <v>63</v>
      </c>
      <c r="AK65" s="14" t="str">
        <f>IF(AL31=2, 0.4593, IF(AL31=3, 0.242, IF(AL31=4, 0.0926, IF(AL31=5, 0.058, IF(AL31=6, 0.058, IF(AL31=7, 0.058, IF(AL31=8, 0.058, IF(AL31=9, 0.058, IF(AL31=1, 0.12455,"")))))))))</f>
        <v/>
      </c>
      <c r="AL65" s="3" t="str">
        <f>IF((L$8=AJ65),AI65,"")</f>
        <v/>
      </c>
      <c r="AM65" s="3" t="str">
        <f>IFERROR(SMALL(AL$65:AL$70,AI65),"")</f>
        <v/>
      </c>
      <c r="AN65" s="3" t="str">
        <f>IF(AL31=1, 64.25, IF(AL31=2, 69.333, IF(AL31=3, 69.333, IF(AL31=4, 69.333, IF(AL31=5, 64.25, IF(AL31=6,64.25, IF(AL31=7,64.25, IF(AL31=8, 64.25, IF(AL31=9, 64.25,"")))))))))</f>
        <v/>
      </c>
      <c r="AO65" s="3" t="b">
        <f>IF(AM$65=AI65,L$10*(AN65*AK65))</f>
        <v>0</v>
      </c>
      <c r="AP65" s="3" t="b">
        <f>IF(AM$65=AI65,L$11*(AN65*AK65))</f>
        <v>0</v>
      </c>
      <c r="AQ65" s="3">
        <f>((((AO65-AP65)/1000)*9320)*0.000001)*L6</f>
        <v>0</v>
      </c>
      <c r="AR65" s="2" t="s">
        <v>64</v>
      </c>
      <c r="AS65" s="2"/>
      <c r="AT65" s="2"/>
      <c r="AU65" s="2"/>
      <c r="AW65" s="2">
        <v>1</v>
      </c>
      <c r="AX65" s="3" t="s">
        <v>63</v>
      </c>
      <c r="AY65" s="14" t="str">
        <f>IF(AZ31=2, 0.4593, IF(AZ31=3, 0.242, IF(AZ31=4, 0.0926, IF(AZ31=5, 0.058, IF(AZ31=6, 0.058, IF(AZ31=7, 0.058, IF(AZ31=8, 0.058, IF(AZ31=9, 0.058, IF(AZ31=1, 0.12455,"")))))))))</f>
        <v/>
      </c>
      <c r="AZ65" s="3" t="str">
        <f>IF((M$8=AX65),AW65,"")</f>
        <v/>
      </c>
      <c r="BA65" s="3" t="str">
        <f>IFERROR(SMALL(AZ$65:AZ$70,AW65),"")</f>
        <v/>
      </c>
      <c r="BB65" s="3" t="str">
        <f>IF(AZ31=1, 64.25, IF(AZ31=2, 69.333, IF(AZ31=3, 69.333, IF(AZ31=4, 69.333, IF(AZ31=5, 64.25, IF(AZ31=6,64.25, IF(AZ31=7,64.25, IF(AZ31=8, 64.25, IF(AZ31=9, 64.25,"")))))))))</f>
        <v/>
      </c>
      <c r="BC65" s="3" t="b">
        <f>IF(BA$65=AW65,M$10*(BB65*AY65))</f>
        <v>0</v>
      </c>
      <c r="BD65" s="3" t="b">
        <f>IF(BA$65=AW65,M$11*(BB65*AY65))</f>
        <v>0</v>
      </c>
      <c r="BE65" s="3">
        <f>((((BC65-BD65)/1000)*9320)*0.000001)*M6</f>
        <v>0</v>
      </c>
      <c r="BF65" s="2" t="s">
        <v>64</v>
      </c>
      <c r="BG65" s="2"/>
      <c r="BH65" s="2"/>
      <c r="BK65" s="2">
        <v>1</v>
      </c>
      <c r="BL65" s="3" t="s">
        <v>63</v>
      </c>
      <c r="BM65" s="14" t="str">
        <f>IF(BN30=2, 0.4593, IF(BN30=3, 0.242, IF(BN30=4, 0.0926, IF(BN30=5, 0.058, IF(BN30=6, 0.058, IF(BN30=7, 0.058, IF(BN30=8, 0.058, IF(BN30=9, 0.058, IF(BN30=1, 0.12455,"")))))))))</f>
        <v/>
      </c>
      <c r="BN65" s="3" t="str">
        <f>IF((N$8=BL65),BK65,"")</f>
        <v/>
      </c>
      <c r="BO65" s="3" t="str">
        <f>IFERROR(SMALL(BN$65:BN$70,BK65),"")</f>
        <v/>
      </c>
      <c r="BP65" s="3" t="str">
        <f>IF(BN30=1, 64.25, IF(BN30=2, 69.333, IF(BN30=3, 69.333, IF(BN30=4, 69.333, IF(BN30=5, 64.25, IF(BN30=6,64.25, IF(BN30=7,64.25, IF(BN30=8, 64.25, IF(BN30=9, 64.25,"")))))))))</f>
        <v/>
      </c>
      <c r="BQ65" s="3" t="b">
        <f>IF(BO$65=BK65,N$10*(BP65*BM65))</f>
        <v>0</v>
      </c>
      <c r="BR65" s="3" t="b">
        <f>IF(BO$65=BK65,N$11*(BP65*BM65))</f>
        <v>0</v>
      </c>
      <c r="BS65" s="3">
        <f>((((BQ65-BR65)/1000)*9320)*0.000001)*N6</f>
        <v>0</v>
      </c>
      <c r="BT65" s="2" t="s">
        <v>64</v>
      </c>
      <c r="BU65" s="2"/>
      <c r="BV65" s="2">
        <v>1</v>
      </c>
      <c r="BW65" s="3" t="s">
        <v>63</v>
      </c>
      <c r="BX65" s="14" t="str">
        <f>IF(BY30=2, 0.4593, IF(BY30=3, 0.242, IF(BY30=4, 0.0926, IF(BY30=5, 0.058, IF(BY30=6, 0.058, IF(BY30=7, 0.058, IF(BY30=8, 0.058, IF(BY30=9, 0.058, IF(BY30=1, 0.12455,"")))))))))</f>
        <v/>
      </c>
      <c r="BY65" s="3" t="str">
        <f>IF((O$8=BW65),BV65,"")</f>
        <v/>
      </c>
      <c r="BZ65" s="3" t="str">
        <f>IFERROR(SMALL(BY$65:BY$70,BV65),"")</f>
        <v/>
      </c>
      <c r="CA65" s="3" t="str">
        <f>IF(BY30=1, 64.25, IF(BY30=2, 69.333, IF(BY30=3, 69.333, IF(BY30=4, 69.333, IF(BY30=5, 64.25, IF(BY30=6,64.25, IF(BY30=7,64.25, IF(BY30=8, 64.25, IF(BY30=9, 64.25,"")))))))))</f>
        <v/>
      </c>
      <c r="CB65" s="3" t="b">
        <f>IF(BZ$65=BV65,O$10*(CA65*BX65))</f>
        <v>0</v>
      </c>
      <c r="CC65" s="3" t="b">
        <f>IF(BZ$65=BV65,O$11*(CA65*BX65))</f>
        <v>0</v>
      </c>
      <c r="CD65" s="3">
        <f>((((CB65-CC65)/1000)*9320)*0.000001)*O6</f>
        <v>0</v>
      </c>
      <c r="CE65" s="2" t="s">
        <v>64</v>
      </c>
      <c r="CF65" s="2"/>
      <c r="CG65" s="2"/>
    </row>
    <row r="66" spans="6:85">
      <c r="F66" s="2">
        <v>2</v>
      </c>
      <c r="G66" s="3" t="s">
        <v>19</v>
      </c>
      <c r="H66" s="14">
        <f>IF(I32=2, 0.69, IF(I32=3, 0.716, IF(I32=4, 0.7715, IF(I32=5, 0.58, IF(I32=6, 0.55, IF(I32=7, 0.45, IF(I32=8, 0.35, IF(I32=9, 0.17, IF(I32=1, 0.50738,"")))))))))</f>
        <v>0.69</v>
      </c>
      <c r="I66" s="3">
        <f>IF((J$8=G66),F66,"")</f>
        <v>2</v>
      </c>
      <c r="J66" s="3" t="str">
        <f>IFERROR(SMALL(I$65:I$70,F66),"")</f>
        <v/>
      </c>
      <c r="K66" s="3">
        <f>IF(I32=1, 55.333, IF(I32=2, 64, IF(I32=3, 64, IF(I32=4, 64, IF(I32=5, 55.333, IF(I32=6,55.333, IF(I32=7,55.333, IF(I32=8, 55.333, IF(I32=9, 55.333,"")))))))))</f>
        <v>64</v>
      </c>
      <c r="L66" s="3">
        <f>IF(J$65=F66,J$10*(K66*H66))</f>
        <v>4416000</v>
      </c>
      <c r="M66" s="3">
        <f>IF(J$65=F66,J$11*(K66*H66))</f>
        <v>3974399.9999999995</v>
      </c>
      <c r="N66" s="3">
        <f>((((L66-M66)/1000)*14415)*0.000001)*J6</f>
        <v>6.365664000000006</v>
      </c>
      <c r="O66" s="2" t="s">
        <v>64</v>
      </c>
      <c r="P66" s="2"/>
      <c r="Q66" s="2"/>
      <c r="R66" s="2"/>
      <c r="S66" s="2"/>
      <c r="U66" s="2">
        <v>2</v>
      </c>
      <c r="V66" s="3" t="s">
        <v>19</v>
      </c>
      <c r="W66" s="14">
        <f>IF(X32=2, 0.69, IF(X32=3, 0.716, IF(X32=4, 0.7715, IF(X32=5, 0.58, IF(X32=6, 0.55, IF(X32=7, 0.45, IF(X32=8, 0.35, IF(X32=9, 0.17, IF(X32=1, 0.50738,"")))))))))</f>
        <v>0.50738000000000005</v>
      </c>
      <c r="X66" s="3">
        <f>IF((K$8=V66),U66,"")</f>
        <v>2</v>
      </c>
      <c r="Y66" s="3" t="str">
        <f>IFERROR(SMALL(X$65:X$70,U66),"")</f>
        <v/>
      </c>
      <c r="Z66" s="3">
        <f>IF(X32=1, 55.333, IF(X32=2, 64, IF(X32=3, 64, IF(X32=4, 64, IF(X32=5, 55.333, IF(X32=6,55.333, IF(X32=7,55.333, IF(X32=8, 55.333, IF(X32=9, 55.333,"")))))))))</f>
        <v>55.332999999999998</v>
      </c>
      <c r="AA66" s="3">
        <f>IF(Y$65=U66,K$10*(Z66*W66))</f>
        <v>0</v>
      </c>
      <c r="AB66" s="3">
        <f>IF(Y$65=U66,K$11*(Z66*W66))</f>
        <v>0</v>
      </c>
      <c r="AC66" s="3">
        <f>((((AA66-AB66)/1000)*14415)*0.000001)*K6</f>
        <v>0</v>
      </c>
      <c r="AD66" s="2" t="s">
        <v>64</v>
      </c>
      <c r="AE66" s="2"/>
      <c r="AF66" s="2"/>
      <c r="AG66" s="2"/>
      <c r="AH66" s="2"/>
      <c r="AI66" s="2">
        <v>2</v>
      </c>
      <c r="AJ66" s="3" t="s">
        <v>19</v>
      </c>
      <c r="AK66" s="14" t="str">
        <f>IF(AL31=2, 0.69, IF(AL31=3, 0.716, IF(AL31=4, 0.7715, IF(AL31=5, 0.58, IF(AL31=6, 0.55, IF(AL31=7, 0.45, IF(AL31=8, 0.35, IF(AL31=9, 0.17, IF(AL31=1, 0.50738,"")))))))))</f>
        <v/>
      </c>
      <c r="AL66" s="3" t="str">
        <f>IF((L$8=AJ66),AI66,"")</f>
        <v/>
      </c>
      <c r="AM66" s="3" t="str">
        <f>IFERROR(SMALL(AL$65:AL$70,AI66),"")</f>
        <v/>
      </c>
      <c r="AN66" s="3" t="str">
        <f>IF(AL31=1, 55.333, IF(AL31=2, 64, IF(AL31=3, 64, IF(AL31=4, 64, IF(AL31=5, 55.333, IF(AL31=6,55.333, IF(AL31=7,55.333, IF(AL31=8, 55.333, IF(AL31=9, 55.333,"")))))))))</f>
        <v/>
      </c>
      <c r="AO66" s="3" t="b">
        <f>IF(AM$65=AI66,L$10*(AN66*AK66))</f>
        <v>0</v>
      </c>
      <c r="AP66" s="3" t="b">
        <f>IF(AM$65=AI66,L$11*(AN66*AK66))</f>
        <v>0</v>
      </c>
      <c r="AQ66" s="3">
        <f>((((AO66-AP66)/1000)*14415)*0.000001)*L6</f>
        <v>0</v>
      </c>
      <c r="AR66" s="2" t="s">
        <v>64</v>
      </c>
      <c r="AS66" s="2"/>
      <c r="AT66" s="2"/>
      <c r="AU66" s="2"/>
      <c r="AW66" s="2">
        <v>2</v>
      </c>
      <c r="AX66" s="3" t="s">
        <v>19</v>
      </c>
      <c r="AY66" s="14" t="str">
        <f>IF(AZ31=2, 0.69, IF(AZ31=3, 0.716, IF(AZ31=4, 0.7715, IF(AZ31=5, 0.58, IF(AZ31=6, 0.55, IF(AZ31=7, 0.45, IF(AZ31=8, 0.35, IF(AZ31=9, 0.17, IF(AZ31=1, 0.50738,"")))))))))</f>
        <v/>
      </c>
      <c r="AZ66" s="3" t="str">
        <f>IF((M$8=AX66),AW66,"")</f>
        <v/>
      </c>
      <c r="BA66" s="3" t="str">
        <f>IFERROR(SMALL(AZ$65:AZ$70,AW66),"")</f>
        <v/>
      </c>
      <c r="BB66" s="3" t="str">
        <f>IF(AZ31=1, 55.333, IF(AZ31=2, 64, IF(AZ31=3, 64, IF(AZ31=4, 64, IF(AZ31=5, 55.333, IF(AZ31=6,55.333, IF(AZ31=7,55.333, IF(AZ31=8, 55.333, IF(AZ31=9, 55.333,"")))))))))</f>
        <v/>
      </c>
      <c r="BC66" s="3" t="b">
        <f>IF(BA$65=AW66,M$10*(BB66*AY66))</f>
        <v>0</v>
      </c>
      <c r="BD66" s="3" t="b">
        <f>IF(BA$65=AW66,M$11*(BB66*AY66))</f>
        <v>0</v>
      </c>
      <c r="BE66" s="3">
        <f>((((BC66-BD66)/1000)*14415)*0.000001)*M6</f>
        <v>0</v>
      </c>
      <c r="BF66" s="2" t="s">
        <v>64</v>
      </c>
      <c r="BG66" s="2"/>
      <c r="BH66" s="2"/>
      <c r="BK66" s="2">
        <v>2</v>
      </c>
      <c r="BL66" s="3" t="s">
        <v>19</v>
      </c>
      <c r="BM66" s="14" t="str">
        <f>IF(BN30=2, 0.69, IF(BN30=3, 0.716, IF(BN30=4, 0.7715, IF(BN30=5, 0.58, IF(BN30=6, 0.55, IF(BN30=7, 0.45, IF(BN30=8, 0.35, IF(BN30=9, 0.17, IF(BN30=1, 0.50738,"")))))))))</f>
        <v/>
      </c>
      <c r="BN66" s="3" t="str">
        <f>IF((N$8=BL66),BK66,"")</f>
        <v/>
      </c>
      <c r="BO66" s="3" t="str">
        <f>IFERROR(SMALL(BN$65:BN$70,BK66),"")</f>
        <v/>
      </c>
      <c r="BP66" s="3" t="str">
        <f>IF(BN30=1, 55.333, IF(BN30=2, 64, IF(BN30=3, 64, IF(BN30=4, 64, IF(BN30=5, 55.333, IF(BN30=6,55.333, IF(BN30=7,55.333, IF(BN30=8, 55.333, IF(BN30=9, 55.333,"")))))))))</f>
        <v/>
      </c>
      <c r="BQ66" s="3" t="b">
        <f>IF(BO$65=BK66,N$10*(BP66*BM66))</f>
        <v>0</v>
      </c>
      <c r="BR66" s="3" t="b">
        <f>IF(BO$65=BK66,N$11*(BP66*BM66))</f>
        <v>0</v>
      </c>
      <c r="BS66" s="3">
        <f>((((BQ66-BR66)/1000)*14415)*0.000001)*N6</f>
        <v>0</v>
      </c>
      <c r="BT66" s="2" t="s">
        <v>64</v>
      </c>
      <c r="BU66" s="2"/>
      <c r="BV66" s="2">
        <v>2</v>
      </c>
      <c r="BW66" s="3" t="s">
        <v>19</v>
      </c>
      <c r="BX66" s="14" t="str">
        <f>IF(BY30=2, 0.69, IF(BY30=3, 0.716, IF(BY30=4, 0.7715, IF(BY30=5, 0.58, IF(BY30=6, 0.55, IF(BY30=7, 0.45, IF(BY30=8, 0.35, IF(BY30=9, 0.17, IF(BY30=1, 0.50738,"")))))))))</f>
        <v/>
      </c>
      <c r="BY66" s="3" t="str">
        <f>IF((O$8=BW66),BV66,"")</f>
        <v/>
      </c>
      <c r="BZ66" s="3" t="str">
        <f>IFERROR(SMALL(BY$65:BY$70,BV66),"")</f>
        <v/>
      </c>
      <c r="CA66" s="3" t="str">
        <f>IF(BY30=1, 55.333, IF(BY30=2, 64, IF(BY30=3, 64, IF(BY30=4, 64, IF(BY30=5, 55.333, IF(BY30=6,55.333, IF(BY30=7,55.333, IF(BY30=8, 55.333, IF(BY30=9, 55.333,"")))))))))</f>
        <v/>
      </c>
      <c r="CB66" s="3" t="b">
        <f>IF(BZ$65=BV66,O$10*(CA66*BX66))</f>
        <v>0</v>
      </c>
      <c r="CC66" s="3" t="b">
        <f>IF(BZ$65=BV66,O$11*(CA66*BX66))</f>
        <v>0</v>
      </c>
      <c r="CD66" s="3">
        <f>((((CB66-CC66)/1000)*14415)*0.000001)*O6</f>
        <v>0</v>
      </c>
      <c r="CE66" s="2" t="s">
        <v>64</v>
      </c>
      <c r="CF66" s="2"/>
      <c r="CG66" s="2"/>
    </row>
    <row r="67" spans="6:85">
      <c r="F67" s="2">
        <v>3</v>
      </c>
      <c r="G67" s="3" t="s">
        <v>65</v>
      </c>
      <c r="H67" s="3">
        <f>IF(N32=2, 0.414, IF(N32=3, 0.18, IF(N32=4, 0.09, IF(N32=5, 0.056, IF(N32=6, 0.056, IF(N32=7, 0.056, IF(N32=1, 0.142, "")))))))</f>
        <v>0.41399999999999998</v>
      </c>
      <c r="I67" s="3" t="str">
        <f>IF((J$8=G67),F67,"")</f>
        <v/>
      </c>
      <c r="J67" s="3" t="str">
        <f>IFERROR(SMALL(I$65:I$70,F67),"")</f>
        <v/>
      </c>
      <c r="K67" s="3">
        <f>57</f>
        <v>57</v>
      </c>
      <c r="L67" s="3" t="b">
        <f>IF(J$65=F67,J$10*(K67*H67))</f>
        <v>0</v>
      </c>
      <c r="M67" s="3" t="b">
        <f>IF(J$65=F67,J$11*(K67*H67))</f>
        <v>0</v>
      </c>
      <c r="N67" s="3">
        <f>((((L67-M67)/1000)*12310)*0.000001)*J6</f>
        <v>0</v>
      </c>
      <c r="O67" s="2" t="s">
        <v>64</v>
      </c>
      <c r="P67" s="2"/>
      <c r="Q67" s="2"/>
      <c r="R67" s="2"/>
      <c r="S67" s="2"/>
      <c r="U67" s="2">
        <v>3</v>
      </c>
      <c r="V67" s="3" t="s">
        <v>65</v>
      </c>
      <c r="W67" s="3">
        <f>IF(AC32=2, 0.414, IF(AC32=3, 0.18, IF(AC32=4, 0.09, IF(AC32=5, 0.056, IF(AC32=6, 0.056, IF(AC32=7, 0.056, IF(AC32=1, 0.142, "")))))))</f>
        <v>0.14199999999999999</v>
      </c>
      <c r="X67" s="3" t="str">
        <f>IF((K$8=V67),U67,"")</f>
        <v/>
      </c>
      <c r="Y67" s="3" t="str">
        <f>IFERROR(SMALL(X$65:X$70,U67),"")</f>
        <v/>
      </c>
      <c r="Z67" s="3">
        <f>57</f>
        <v>57</v>
      </c>
      <c r="AA67" s="3" t="b">
        <f>IF(Y$65=U67,K$10*(Z67*W67))</f>
        <v>0</v>
      </c>
      <c r="AB67" s="3" t="b">
        <f>IF(Y$65=U67,K$11*(Z67*W67))</f>
        <v>0</v>
      </c>
      <c r="AC67" s="3">
        <f>((((AA67-AB67)/1000)*12310)*0.000001)*K6</f>
        <v>0</v>
      </c>
      <c r="AD67" s="2" t="s">
        <v>64</v>
      </c>
      <c r="AE67" s="2"/>
      <c r="AF67" s="2"/>
      <c r="AG67" s="2"/>
      <c r="AH67" s="2"/>
      <c r="AI67" s="2">
        <v>3</v>
      </c>
      <c r="AJ67" s="3" t="s">
        <v>65</v>
      </c>
      <c r="AK67" s="3" t="str">
        <f>IF(AQ31=2, 0.414, IF(AQ31=3, 0.18, IF(AQ31=4, 0.09, IF(AQ31=5, 0.056, IF(AQ31=6, 0.056, IF(AQ31=7, 0.056, IF(AQ31=1, 0.142, "")))))))</f>
        <v/>
      </c>
      <c r="AL67" s="3" t="str">
        <f>IF((L$8=AJ67),AI67,"")</f>
        <v/>
      </c>
      <c r="AM67" s="3" t="str">
        <f>IFERROR(SMALL(AL$65:AL$70,AI67),"")</f>
        <v/>
      </c>
      <c r="AN67" s="3">
        <f>57</f>
        <v>57</v>
      </c>
      <c r="AO67" s="3" t="b">
        <f>IF(AM$65=AI67,L$10*(AN67*AK67))</f>
        <v>0</v>
      </c>
      <c r="AP67" s="3" t="b">
        <f>IF(AM$65=AI67,L$11*(AN67*AK67))</f>
        <v>0</v>
      </c>
      <c r="AQ67" s="3">
        <f>((((AO67-AP67)/1000)*12310)*0.000001)*L6</f>
        <v>0</v>
      </c>
      <c r="AR67" s="2" t="s">
        <v>64</v>
      </c>
      <c r="AS67" s="2"/>
      <c r="AT67" s="2"/>
      <c r="AU67" s="2"/>
      <c r="AW67" s="2">
        <v>3</v>
      </c>
      <c r="AX67" s="3" t="s">
        <v>65</v>
      </c>
      <c r="AY67" s="3" t="str">
        <f>IF(BE31=2, 0.414, IF(BE31=3, 0.18, IF(BE31=4, 0.09, IF(BE31=5, 0.056, IF(BE31=6, 0.056, IF(BE31=7, 0.056, IF(BE31=1, 0.142, "")))))))</f>
        <v/>
      </c>
      <c r="AZ67" s="3" t="str">
        <f>IF((M$8=AX67),AW67,"")</f>
        <v/>
      </c>
      <c r="BA67" s="3" t="str">
        <f>IFERROR(SMALL(AZ$65:AZ$70,AW67),"")</f>
        <v/>
      </c>
      <c r="BB67" s="3">
        <f>57</f>
        <v>57</v>
      </c>
      <c r="BC67" s="3" t="b">
        <f>IF(BA$65=AW67,M$10*(BB67*AY67))</f>
        <v>0</v>
      </c>
      <c r="BD67" s="3" t="b">
        <f>IF(BA$65=AW67,M$11*(BB67*AY67))</f>
        <v>0</v>
      </c>
      <c r="BE67" s="3">
        <f>((((BC67-BD67)/1000)*12310)*0.000001)*M6</f>
        <v>0</v>
      </c>
      <c r="BF67" s="2" t="s">
        <v>64</v>
      </c>
      <c r="BG67" s="2"/>
      <c r="BH67" s="2"/>
      <c r="BK67" s="2">
        <v>3</v>
      </c>
      <c r="BL67" s="3" t="s">
        <v>65</v>
      </c>
      <c r="BM67" s="3" t="str">
        <f>IF(BS30=2, 0.414, IF(BS30=3, 0.18, IF(BS30=4, 0.09, IF(BS30=5, 0.056, IF(BS30=6, 0.056, IF(BS30=7, 0.056, IF(BS30=1, 0.142, "")))))))</f>
        <v/>
      </c>
      <c r="BN67" s="3" t="str">
        <f>IF((N$8=BL67),BK67,"")</f>
        <v/>
      </c>
      <c r="BO67" s="3" t="str">
        <f>IFERROR(SMALL(BN$65:BN$70,BK67),"")</f>
        <v/>
      </c>
      <c r="BP67" s="3">
        <f>57</f>
        <v>57</v>
      </c>
      <c r="BQ67" s="3" t="b">
        <f>IF(BO$65=BK67,N$10*(BP67*BM67))</f>
        <v>0</v>
      </c>
      <c r="BR67" s="3" t="b">
        <f>IF(BO$65=BK67,N$11*(BP67*BM67))</f>
        <v>0</v>
      </c>
      <c r="BS67" s="3">
        <f>((((BQ67-BR67)/1000)*12310)*0.000001)*N6</f>
        <v>0</v>
      </c>
      <c r="BT67" s="2" t="s">
        <v>64</v>
      </c>
      <c r="BU67" s="2"/>
      <c r="BV67" s="2">
        <v>3</v>
      </c>
      <c r="BW67" s="3" t="s">
        <v>65</v>
      </c>
      <c r="BX67" s="3" t="str">
        <f>IF(CD30=2, 0.414, IF(CD30=3, 0.18, IF(CD30=4, 0.09, IF(CD30=5, 0.056, IF(CD30=6, 0.056, IF(CD30=7, 0.056, IF(CD30=1, 0.142, "")))))))</f>
        <v/>
      </c>
      <c r="BY67" s="3" t="str">
        <f>IF((O$8=BW67),BV67,"")</f>
        <v/>
      </c>
      <c r="BZ67" s="3" t="str">
        <f>IFERROR(SMALL(BY$65:BY$70,BV67),"")</f>
        <v/>
      </c>
      <c r="CA67" s="3">
        <f>57</f>
        <v>57</v>
      </c>
      <c r="CB67" s="3" t="b">
        <f>IF(BZ$65=BV67,O$10*(CA67*BX67))</f>
        <v>0</v>
      </c>
      <c r="CC67" s="3" t="b">
        <f>IF(BZ$65=BV67,O$11*(CA67*BX67))</f>
        <v>0</v>
      </c>
      <c r="CD67" s="3">
        <f>((((CB67-CC67)/1000)*12310)*0.000001)*O6</f>
        <v>0</v>
      </c>
      <c r="CE67" s="2" t="s">
        <v>64</v>
      </c>
      <c r="CF67" s="2"/>
      <c r="CG67" s="2"/>
    </row>
    <row r="68" spans="6:85">
      <c r="F68" s="11">
        <v>4</v>
      </c>
      <c r="G68" s="7" t="s">
        <v>66</v>
      </c>
      <c r="H68" s="7">
        <v>7.5399999999999995E-2</v>
      </c>
      <c r="I68" s="7" t="str">
        <f>IF((Q$8=G68),F68,"")</f>
        <v/>
      </c>
      <c r="J68" s="7" t="str">
        <f>IFERROR(SMALL(I$70:I$75,F68),"")</f>
        <v/>
      </c>
      <c r="K68" s="7">
        <f>39.57</f>
        <v>39.57</v>
      </c>
      <c r="L68" s="7" t="b">
        <f>IF(J$70=F68,I$8*(K68*H68))</f>
        <v>0</v>
      </c>
      <c r="M68" s="7" t="b">
        <f>IF(J$70=F68,L$8*(K68*H68))</f>
        <v>0</v>
      </c>
      <c r="N68" s="7">
        <f>L68-M68</f>
        <v>0</v>
      </c>
      <c r="O68" s="2"/>
      <c r="P68" s="2"/>
      <c r="Q68" s="2"/>
      <c r="R68" s="2"/>
      <c r="S68" s="2"/>
      <c r="U68" s="11">
        <v>4</v>
      </c>
      <c r="V68" s="7" t="s">
        <v>66</v>
      </c>
      <c r="W68" s="7">
        <v>7.5399999999999995E-2</v>
      </c>
      <c r="X68" s="7" t="str">
        <f>IF((AF$8=V68),U68,"")</f>
        <v/>
      </c>
      <c r="Y68" s="7" t="str">
        <f>IFERROR(SMALL(X$70:X$75,U68),"")</f>
        <v/>
      </c>
      <c r="Z68" s="7">
        <f>39.57</f>
        <v>39.57</v>
      </c>
      <c r="AA68" s="7" t="b">
        <f>IF(Y$70=U68,X$8*(Z68*W68))</f>
        <v>0</v>
      </c>
      <c r="AB68" s="7" t="b">
        <f>IF(Y$70=U68,AA$8*(Z68*W68))</f>
        <v>0</v>
      </c>
      <c r="AC68" s="7">
        <f>AA68-AB68</f>
        <v>0</v>
      </c>
      <c r="AD68" s="2"/>
      <c r="AE68" s="2"/>
      <c r="AF68" s="2"/>
      <c r="AG68" s="2"/>
      <c r="AH68" s="2"/>
      <c r="AI68" s="11">
        <v>4</v>
      </c>
      <c r="AJ68" s="7" t="s">
        <v>66</v>
      </c>
      <c r="AK68" s="7">
        <v>7.5399999999999995E-2</v>
      </c>
      <c r="AL68" s="7" t="str">
        <f>IF((AT$8=AJ68),AI68,"")</f>
        <v/>
      </c>
      <c r="AM68" s="7" t="str">
        <f>IFERROR(SMALL(AL$70:AL$75,AI68),"")</f>
        <v/>
      </c>
      <c r="AN68" s="7">
        <f>39.57</f>
        <v>39.57</v>
      </c>
      <c r="AO68" s="7" t="b">
        <f>IF(AM$70=AI68,AL$8*(AN68*AK68))</f>
        <v>0</v>
      </c>
      <c r="AP68" s="7" t="b">
        <f>IF(AM$70=AI68,AO$8*(AN68*AK68))</f>
        <v>0</v>
      </c>
      <c r="AQ68" s="7">
        <f>AO68-AP68</f>
        <v>0</v>
      </c>
      <c r="AR68" s="2"/>
      <c r="AS68" s="2"/>
      <c r="AT68" s="2"/>
      <c r="AU68" s="2"/>
      <c r="AW68" s="11">
        <v>4</v>
      </c>
      <c r="AX68" s="7" t="s">
        <v>66</v>
      </c>
      <c r="AY68" s="7">
        <v>7.5399999999999995E-2</v>
      </c>
      <c r="AZ68" s="7" t="str">
        <f>IF((BH$8=AX68),AW68,"")</f>
        <v/>
      </c>
      <c r="BA68" s="7" t="str">
        <f>IFERROR(SMALL(AZ$70:AZ$75,AW68),"")</f>
        <v/>
      </c>
      <c r="BB68" s="7">
        <f>39.57</f>
        <v>39.57</v>
      </c>
      <c r="BC68" s="7" t="b">
        <f>IF(BA$70=AW68,AZ$8*(BB68*AY68))</f>
        <v>0</v>
      </c>
      <c r="BD68" s="7" t="b">
        <f>IF(BA$70=AW68,BC$8*(BB68*AY68))</f>
        <v>0</v>
      </c>
      <c r="BE68" s="7">
        <f>BC68-BD68</f>
        <v>0</v>
      </c>
      <c r="BF68" s="2"/>
      <c r="BG68" s="2"/>
      <c r="BH68" s="2"/>
      <c r="BK68" s="11">
        <v>4</v>
      </c>
      <c r="BL68" s="7" t="s">
        <v>66</v>
      </c>
      <c r="BM68" s="7">
        <v>7.5399999999999995E-2</v>
      </c>
      <c r="BN68" s="7" t="str">
        <f>IF((BV$8=BL68),BK68,"")</f>
        <v/>
      </c>
      <c r="BO68" s="7" t="str">
        <f>IFERROR(SMALL(BN$70:BN$75,BK68),"")</f>
        <v/>
      </c>
      <c r="BP68" s="7">
        <f>39.57</f>
        <v>39.57</v>
      </c>
      <c r="BQ68" s="7" t="b">
        <f>IF(BO$70=BK68,BN$8*(BP68*BM68))</f>
        <v>0</v>
      </c>
      <c r="BR68" s="7" t="b">
        <f>IF(BO$70=BK68,BQ$8*(BP68*BM68))</f>
        <v>0</v>
      </c>
      <c r="BS68" s="7">
        <f>BQ68-BR68</f>
        <v>0</v>
      </c>
      <c r="BT68" s="2"/>
      <c r="BU68" s="2"/>
      <c r="BV68" s="11">
        <v>4</v>
      </c>
      <c r="BW68" s="7" t="s">
        <v>66</v>
      </c>
      <c r="BX68" s="7">
        <v>7.5399999999999995E-2</v>
      </c>
      <c r="BY68" s="7" t="str">
        <f>IF((CG$8=BW68),BV68,"")</f>
        <v/>
      </c>
      <c r="BZ68" s="7" t="str">
        <f>IFERROR(SMALL(BY$70:BY$75,BV68),"")</f>
        <v/>
      </c>
      <c r="CA68" s="7">
        <f>39.57</f>
        <v>39.57</v>
      </c>
      <c r="CB68" s="7" t="b">
        <f>IF(BZ$70=BV68,BY$8*(CA68*BX68))</f>
        <v>0</v>
      </c>
      <c r="CC68" s="7" t="b">
        <f>IF(BZ$70=BV68,CB$8*(CA68*BX68))</f>
        <v>0</v>
      </c>
      <c r="CD68" s="7">
        <f>CB68-CC68</f>
        <v>0</v>
      </c>
      <c r="CE68" s="2"/>
      <c r="CF68" s="2"/>
      <c r="CG68" s="2"/>
    </row>
    <row r="69" spans="6:85">
      <c r="F69" s="11">
        <v>5</v>
      </c>
      <c r="G69" s="7" t="s">
        <v>67</v>
      </c>
      <c r="H69" s="7">
        <v>3.3500000000000002E-2</v>
      </c>
      <c r="I69" s="7" t="str">
        <f>IF((Q$8=G69),F69,"")</f>
        <v/>
      </c>
      <c r="J69" s="7" t="str">
        <f>IFERROR(SMALL(I$70:I$75,F69),"")</f>
        <v/>
      </c>
      <c r="K69" s="7">
        <f>87</f>
        <v>87</v>
      </c>
      <c r="L69" s="7" t="b">
        <f>IF(J$70=F69,I$8*(K69*H69))</f>
        <v>0</v>
      </c>
      <c r="M69" s="7" t="b">
        <f>IF(J$70=F69,L$8*(K69*H69))</f>
        <v>0</v>
      </c>
      <c r="N69" s="7">
        <f>L69-M69</f>
        <v>0</v>
      </c>
      <c r="O69" s="2"/>
      <c r="P69" s="2"/>
      <c r="Q69" s="2"/>
      <c r="R69" s="2"/>
      <c r="S69" s="2"/>
      <c r="U69" s="11">
        <v>5</v>
      </c>
      <c r="V69" s="7" t="s">
        <v>67</v>
      </c>
      <c r="W69" s="7">
        <v>3.3500000000000002E-2</v>
      </c>
      <c r="X69" s="7" t="str">
        <f>IF((AF$8=V69),U69,"")</f>
        <v/>
      </c>
      <c r="Y69" s="7" t="str">
        <f>IFERROR(SMALL(X$70:X$75,U69),"")</f>
        <v/>
      </c>
      <c r="Z69" s="7">
        <f>87</f>
        <v>87</v>
      </c>
      <c r="AA69" s="7" t="b">
        <f>IF(Y$70=U69,X$8*(Z69*W69))</f>
        <v>0</v>
      </c>
      <c r="AB69" s="7" t="b">
        <f>IF(Y$70=U69,AA$8*(Z69*W69))</f>
        <v>0</v>
      </c>
      <c r="AC69" s="7">
        <f>AA69-AB69</f>
        <v>0</v>
      </c>
      <c r="AD69" s="2"/>
      <c r="AE69" s="2"/>
      <c r="AF69" s="2"/>
      <c r="AG69" s="2"/>
      <c r="AH69" s="2"/>
      <c r="AI69" s="11">
        <v>5</v>
      </c>
      <c r="AJ69" s="7" t="s">
        <v>67</v>
      </c>
      <c r="AK69" s="7">
        <v>3.3500000000000002E-2</v>
      </c>
      <c r="AL69" s="7" t="str">
        <f>IF((AT$8=AJ69),AI69,"")</f>
        <v/>
      </c>
      <c r="AM69" s="7" t="str">
        <f>IFERROR(SMALL(AL$70:AL$75,AI69),"")</f>
        <v/>
      </c>
      <c r="AN69" s="7">
        <f>87</f>
        <v>87</v>
      </c>
      <c r="AO69" s="7" t="b">
        <f>IF(AM$70=AI69,AL$8*(AN69*AK69))</f>
        <v>0</v>
      </c>
      <c r="AP69" s="7" t="b">
        <f>IF(AM$70=AI69,AO$8*(AN69*AK69))</f>
        <v>0</v>
      </c>
      <c r="AQ69" s="7">
        <f>AO69-AP69</f>
        <v>0</v>
      </c>
      <c r="AR69" s="2"/>
      <c r="AS69" s="2"/>
      <c r="AT69" s="2"/>
      <c r="AU69" s="2"/>
      <c r="AW69" s="11">
        <v>5</v>
      </c>
      <c r="AX69" s="7" t="s">
        <v>67</v>
      </c>
      <c r="AY69" s="7">
        <v>3.3500000000000002E-2</v>
      </c>
      <c r="AZ69" s="7" t="str">
        <f>IF((BH$8=AX69),AW69,"")</f>
        <v/>
      </c>
      <c r="BA69" s="7" t="str">
        <f>IFERROR(SMALL(AZ$70:AZ$75,AW69),"")</f>
        <v/>
      </c>
      <c r="BB69" s="7">
        <f>87</f>
        <v>87</v>
      </c>
      <c r="BC69" s="7" t="b">
        <f>IF(BA$70=AW69,AZ$8*(BB69*AY69))</f>
        <v>0</v>
      </c>
      <c r="BD69" s="7" t="b">
        <f>IF(BA$70=AW69,BC$8*(BB69*AY69))</f>
        <v>0</v>
      </c>
      <c r="BE69" s="7">
        <f>BC69-BD69</f>
        <v>0</v>
      </c>
      <c r="BF69" s="2"/>
      <c r="BG69" s="2"/>
      <c r="BH69" s="2"/>
      <c r="BK69" s="11">
        <v>5</v>
      </c>
      <c r="BL69" s="7" t="s">
        <v>67</v>
      </c>
      <c r="BM69" s="7">
        <v>3.3500000000000002E-2</v>
      </c>
      <c r="BN69" s="7" t="str">
        <f>IF((BV$8=BL69),BK69,"")</f>
        <v/>
      </c>
      <c r="BO69" s="7" t="str">
        <f>IFERROR(SMALL(BN$70:BN$75,BK69),"")</f>
        <v/>
      </c>
      <c r="BP69" s="7">
        <f>87</f>
        <v>87</v>
      </c>
      <c r="BQ69" s="7" t="b">
        <f>IF(BO$70=BK69,BN$8*(BP69*BM69))</f>
        <v>0</v>
      </c>
      <c r="BR69" s="7" t="b">
        <f>IF(BO$70=BK69,BQ$8*(BP69*BM69))</f>
        <v>0</v>
      </c>
      <c r="BS69" s="7">
        <f>BQ69-BR69</f>
        <v>0</v>
      </c>
      <c r="BT69" s="2"/>
      <c r="BU69" s="2"/>
      <c r="BV69" s="11">
        <v>5</v>
      </c>
      <c r="BW69" s="7" t="s">
        <v>67</v>
      </c>
      <c r="BX69" s="7">
        <v>3.3500000000000002E-2</v>
      </c>
      <c r="BY69" s="7" t="str">
        <f>IF((CG$8=BW69),BV69,"")</f>
        <v/>
      </c>
      <c r="BZ69" s="7" t="str">
        <f>IFERROR(SMALL(BY$70:BY$75,BV69),"")</f>
        <v/>
      </c>
      <c r="CA69" s="7">
        <f>87</f>
        <v>87</v>
      </c>
      <c r="CB69" s="7" t="b">
        <f>IF(BZ$70=BV69,BY$8*(CA69*BX69))</f>
        <v>0</v>
      </c>
      <c r="CC69" s="7" t="b">
        <f>IF(BZ$70=BV69,CB$8*(CA69*BX69))</f>
        <v>0</v>
      </c>
      <c r="CD69" s="7">
        <f>CB69-CC69</f>
        <v>0</v>
      </c>
      <c r="CE69" s="2"/>
      <c r="CF69" s="2"/>
      <c r="CG69" s="2"/>
    </row>
    <row r="70" spans="6:85">
      <c r="F70" s="11">
        <v>6</v>
      </c>
      <c r="G70" s="7" t="s">
        <v>68</v>
      </c>
      <c r="H70" s="7">
        <v>5.2999999999999999E-2</v>
      </c>
      <c r="I70" s="7" t="str">
        <f>IF((Q$8=G70),F70,"")</f>
        <v/>
      </c>
      <c r="J70" s="7" t="str">
        <f>IFERROR(SMALL(I$70:I$75,F70),"")</f>
        <v/>
      </c>
      <c r="K70" s="7">
        <f>63</f>
        <v>63</v>
      </c>
      <c r="L70" s="7" t="b">
        <f>IF(J$70=F70,I$8*(K70*H70))</f>
        <v>0</v>
      </c>
      <c r="M70" s="7" t="b">
        <f>IF(J$70=F70,L$8*(K70*H70))</f>
        <v>0</v>
      </c>
      <c r="N70" s="7">
        <f>L70-M70</f>
        <v>0</v>
      </c>
      <c r="O70" s="2"/>
      <c r="P70" s="2"/>
      <c r="Q70" s="2"/>
      <c r="R70" s="2"/>
      <c r="S70" s="2"/>
      <c r="U70" s="11">
        <v>6</v>
      </c>
      <c r="V70" s="7" t="s">
        <v>68</v>
      </c>
      <c r="W70" s="7">
        <v>5.2999999999999999E-2</v>
      </c>
      <c r="X70" s="7" t="str">
        <f>IF((AF$8=V70),U70,"")</f>
        <v/>
      </c>
      <c r="Y70" s="7" t="str">
        <f>IFERROR(SMALL(X$70:X$75,U70),"")</f>
        <v/>
      </c>
      <c r="Z70" s="7">
        <f>63</f>
        <v>63</v>
      </c>
      <c r="AA70" s="7" t="b">
        <f>IF(Y$70=U70,X$8*(Z70*W70))</f>
        <v>0</v>
      </c>
      <c r="AB70" s="7" t="b">
        <f>IF(Y$70=U70,AA$8*(Z70*W70))</f>
        <v>0</v>
      </c>
      <c r="AC70" s="7">
        <f>AA70-AB70</f>
        <v>0</v>
      </c>
      <c r="AD70" s="2"/>
      <c r="AE70" s="2"/>
      <c r="AF70" s="2"/>
      <c r="AG70" s="2"/>
      <c r="AH70" s="2"/>
      <c r="AI70" s="11">
        <v>6</v>
      </c>
      <c r="AJ70" s="7" t="s">
        <v>68</v>
      </c>
      <c r="AK70" s="7">
        <v>5.2999999999999999E-2</v>
      </c>
      <c r="AL70" s="7" t="str">
        <f>IF((AT$8=AJ70),AI70,"")</f>
        <v/>
      </c>
      <c r="AM70" s="7" t="str">
        <f>IFERROR(SMALL(AL$70:AL$75,AI70),"")</f>
        <v/>
      </c>
      <c r="AN70" s="7">
        <f>63</f>
        <v>63</v>
      </c>
      <c r="AO70" s="7" t="b">
        <f>IF(AM$70=AI70,AL$8*(AN70*AK70))</f>
        <v>0</v>
      </c>
      <c r="AP70" s="7" t="b">
        <f>IF(AM$70=AI70,AO$8*(AN70*AK70))</f>
        <v>0</v>
      </c>
      <c r="AQ70" s="7">
        <f>AO70-AP70</f>
        <v>0</v>
      </c>
      <c r="AR70" s="2"/>
      <c r="AS70" s="2"/>
      <c r="AT70" s="2"/>
      <c r="AU70" s="2"/>
      <c r="AW70" s="11">
        <v>6</v>
      </c>
      <c r="AX70" s="7" t="s">
        <v>68</v>
      </c>
      <c r="AY70" s="7">
        <v>5.2999999999999999E-2</v>
      </c>
      <c r="AZ70" s="7" t="str">
        <f>IF((BH$8=AX70),AW70,"")</f>
        <v/>
      </c>
      <c r="BA70" s="7" t="str">
        <f>IFERROR(SMALL(AZ$70:AZ$75,AW70),"")</f>
        <v/>
      </c>
      <c r="BB70" s="7">
        <f>63</f>
        <v>63</v>
      </c>
      <c r="BC70" s="7" t="b">
        <f>IF(BA$70=AW70,AZ$8*(BB70*AY70))</f>
        <v>0</v>
      </c>
      <c r="BD70" s="7" t="b">
        <f>IF(BA$70=AW70,BC$8*(BB70*AY70))</f>
        <v>0</v>
      </c>
      <c r="BE70" s="7">
        <f>BC70-BD70</f>
        <v>0</v>
      </c>
      <c r="BF70" s="2"/>
      <c r="BG70" s="2"/>
      <c r="BH70" s="2"/>
      <c r="BK70" s="11">
        <v>6</v>
      </c>
      <c r="BL70" s="7" t="s">
        <v>68</v>
      </c>
      <c r="BM70" s="7">
        <v>5.2999999999999999E-2</v>
      </c>
      <c r="BN70" s="7" t="str">
        <f>IF((BV$8=BL70),BK70,"")</f>
        <v/>
      </c>
      <c r="BO70" s="7" t="str">
        <f>IFERROR(SMALL(BN$70:BN$75,BK70),"")</f>
        <v/>
      </c>
      <c r="BP70" s="7">
        <f>63</f>
        <v>63</v>
      </c>
      <c r="BQ70" s="7" t="b">
        <f>IF(BO$70=BK70,BN$8*(BP70*BM70))</f>
        <v>0</v>
      </c>
      <c r="BR70" s="7" t="b">
        <f>IF(BO$70=BK70,BQ$8*(BP70*BM70))</f>
        <v>0</v>
      </c>
      <c r="BS70" s="7">
        <f>BQ70-BR70</f>
        <v>0</v>
      </c>
      <c r="BT70" s="2"/>
      <c r="BU70" s="2"/>
      <c r="BV70" s="11">
        <v>6</v>
      </c>
      <c r="BW70" s="7" t="s">
        <v>68</v>
      </c>
      <c r="BX70" s="7">
        <v>5.2999999999999999E-2</v>
      </c>
      <c r="BY70" s="7" t="str">
        <f>IF((CG$8=BW70),BV70,"")</f>
        <v/>
      </c>
      <c r="BZ70" s="7" t="str">
        <f>IFERROR(SMALL(BY$70:BY$75,BV70),"")</f>
        <v/>
      </c>
      <c r="CA70" s="7">
        <f>63</f>
        <v>63</v>
      </c>
      <c r="CB70" s="7" t="b">
        <f>IF(BZ$70=BV70,BY$8*(CA70*BX70))</f>
        <v>0</v>
      </c>
      <c r="CC70" s="7" t="b">
        <f>IF(BZ$70=BV70,CB$8*(CA70*BX70))</f>
        <v>0</v>
      </c>
      <c r="CD70" s="7">
        <f>CB70-CC70</f>
        <v>0</v>
      </c>
      <c r="CE70" s="2"/>
      <c r="CF70" s="2"/>
      <c r="CG70" s="2"/>
    </row>
    <row r="71" spans="6:85">
      <c r="F71" s="2"/>
      <c r="G71" s="2"/>
      <c r="H71" s="2"/>
      <c r="I71" s="2"/>
      <c r="J71" s="2"/>
      <c r="K71" s="2"/>
      <c r="L71" s="2"/>
      <c r="M71" s="2"/>
      <c r="N71" s="2"/>
      <c r="O71" s="2"/>
      <c r="P71" s="2"/>
      <c r="Q71" s="2"/>
      <c r="R71" s="2"/>
      <c r="S71" s="2"/>
      <c r="U71" s="2"/>
      <c r="V71" s="2"/>
      <c r="W71" s="2"/>
      <c r="X71" s="2"/>
      <c r="Y71" s="2"/>
      <c r="Z71" s="2"/>
      <c r="AA71" s="2"/>
      <c r="AB71" s="2"/>
      <c r="AC71" s="2"/>
      <c r="AD71" s="2"/>
      <c r="AE71" s="2"/>
      <c r="AF71" s="2"/>
      <c r="AG71" s="2"/>
      <c r="AH71" s="2"/>
      <c r="AI71" s="2"/>
      <c r="AJ71" s="2"/>
      <c r="AK71" s="2"/>
      <c r="AL71" s="2"/>
      <c r="AM71" s="2"/>
      <c r="AN71" s="2"/>
      <c r="AO71" s="2"/>
      <c r="AP71" s="2"/>
      <c r="AQ71" s="2"/>
      <c r="AR71" s="2"/>
      <c r="AS71" s="2"/>
      <c r="AT71" s="2"/>
      <c r="AU71" s="2"/>
      <c r="AW71" s="2"/>
      <c r="AX71" s="2"/>
      <c r="AY71" s="2"/>
      <c r="AZ71" s="2"/>
      <c r="BA71" s="2"/>
      <c r="BB71" s="2"/>
      <c r="BC71" s="2"/>
      <c r="BD71" s="2"/>
      <c r="BE71" s="2"/>
      <c r="BF71" s="2"/>
      <c r="BG71" s="2"/>
      <c r="BH71" s="2"/>
      <c r="BK71" s="2"/>
      <c r="BL71" s="2"/>
      <c r="BM71" s="2"/>
      <c r="BN71" s="2"/>
      <c r="BO71" s="2"/>
      <c r="BP71" s="2"/>
      <c r="BQ71" s="2"/>
      <c r="BR71" s="2"/>
      <c r="BS71" s="2"/>
      <c r="BT71" s="2"/>
      <c r="BU71" s="2"/>
      <c r="BV71" s="2"/>
      <c r="BW71" s="2"/>
      <c r="BX71" s="2"/>
      <c r="BY71" s="2"/>
      <c r="BZ71" s="2"/>
      <c r="CA71" s="2"/>
      <c r="CB71" s="2"/>
      <c r="CC71" s="2"/>
      <c r="CD71" s="2"/>
      <c r="CE71" s="2"/>
      <c r="CF71" s="2"/>
      <c r="CG71" s="2"/>
    </row>
    <row r="72" spans="6:85">
      <c r="F72" s="2"/>
      <c r="G72" s="2"/>
      <c r="H72" s="2"/>
      <c r="I72" s="2"/>
      <c r="J72" s="2"/>
      <c r="K72" s="2"/>
      <c r="L72" s="2"/>
      <c r="M72" s="2"/>
      <c r="N72" s="2"/>
      <c r="O72" s="2"/>
      <c r="P72" s="2"/>
      <c r="Q72" s="2"/>
      <c r="R72" s="2"/>
      <c r="S72" s="2"/>
      <c r="U72" s="2"/>
      <c r="V72" s="2"/>
      <c r="W72" s="2"/>
      <c r="X72" s="2"/>
      <c r="Y72" s="2"/>
      <c r="Z72" s="2"/>
      <c r="AA72" s="2"/>
      <c r="AB72" s="2"/>
      <c r="AC72" s="2"/>
      <c r="AD72" s="2"/>
      <c r="AE72" s="2"/>
      <c r="AF72" s="2"/>
      <c r="AG72" s="2"/>
      <c r="AH72" s="2"/>
      <c r="AI72" s="2"/>
      <c r="AJ72" s="2"/>
      <c r="AK72" s="2"/>
      <c r="AL72" s="2"/>
      <c r="AM72" s="2"/>
      <c r="AN72" s="2"/>
      <c r="AO72" s="2"/>
      <c r="AP72" s="2"/>
      <c r="AQ72" s="2"/>
      <c r="AR72" s="2"/>
      <c r="AS72" s="2"/>
      <c r="AT72" s="2"/>
      <c r="AU72" s="2"/>
      <c r="AW72" s="2"/>
      <c r="AX72" s="2"/>
      <c r="AY72" s="2"/>
      <c r="AZ72" s="2"/>
      <c r="BA72" s="2"/>
      <c r="BB72" s="2"/>
      <c r="BC72" s="2"/>
      <c r="BD72" s="2"/>
      <c r="BE72" s="2"/>
      <c r="BF72" s="2"/>
      <c r="BG72" s="2"/>
      <c r="BH72" s="2"/>
      <c r="BK72" s="2"/>
      <c r="BL72" s="2"/>
      <c r="BM72" s="2"/>
      <c r="BN72" s="2"/>
      <c r="BO72" s="2"/>
      <c r="BP72" s="2"/>
      <c r="BQ72" s="2"/>
      <c r="BR72" s="2"/>
      <c r="BS72" s="2"/>
      <c r="BT72" s="2"/>
      <c r="BU72" s="2"/>
      <c r="BV72" s="2"/>
      <c r="BW72" s="2"/>
      <c r="BX72" s="2"/>
      <c r="BY72" s="2"/>
      <c r="BZ72" s="2"/>
      <c r="CA72" s="2"/>
      <c r="CB72" s="2"/>
      <c r="CC72" s="2"/>
      <c r="CD72" s="2"/>
      <c r="CE72" s="2"/>
      <c r="CF72" s="2"/>
      <c r="CG72" s="2"/>
    </row>
    <row r="73" spans="6:85">
      <c r="F73" s="2"/>
      <c r="G73" s="2"/>
      <c r="H73" s="2" t="s">
        <v>55</v>
      </c>
      <c r="I73" s="2"/>
      <c r="J73" s="2"/>
      <c r="K73" s="2"/>
      <c r="L73" s="2"/>
      <c r="M73" s="2"/>
      <c r="N73" s="2"/>
      <c r="O73" s="2"/>
      <c r="P73" s="2"/>
      <c r="Q73" s="2"/>
      <c r="R73" s="2"/>
      <c r="S73" s="2"/>
      <c r="U73" s="2"/>
      <c r="V73" s="2"/>
      <c r="W73" s="2" t="s">
        <v>55</v>
      </c>
      <c r="X73" s="2"/>
      <c r="Y73" s="2"/>
      <c r="Z73" s="2"/>
      <c r="AA73" s="2"/>
      <c r="AB73" s="2"/>
      <c r="AC73" s="2"/>
      <c r="AD73" s="2"/>
      <c r="AE73" s="2"/>
      <c r="AF73" s="2"/>
      <c r="AG73" s="2"/>
      <c r="AH73" s="2"/>
      <c r="AI73" s="2"/>
      <c r="AJ73" s="2"/>
      <c r="AK73" s="2" t="s">
        <v>55</v>
      </c>
      <c r="AL73" s="2"/>
      <c r="AM73" s="2"/>
      <c r="AN73" s="2"/>
      <c r="AO73" s="2"/>
      <c r="AP73" s="2"/>
      <c r="AQ73" s="2"/>
      <c r="AR73" s="2"/>
      <c r="AS73" s="2"/>
      <c r="AT73" s="2"/>
      <c r="AU73" s="2"/>
      <c r="AW73" s="2"/>
      <c r="AX73" s="2"/>
      <c r="AY73" s="2" t="s">
        <v>55</v>
      </c>
      <c r="AZ73" s="2"/>
      <c r="BA73" s="2"/>
      <c r="BB73" s="2"/>
      <c r="BC73" s="2"/>
      <c r="BD73" s="2"/>
      <c r="BE73" s="2"/>
      <c r="BF73" s="2"/>
      <c r="BG73" s="2"/>
      <c r="BH73" s="2"/>
      <c r="BK73" s="2"/>
      <c r="BL73" s="2"/>
      <c r="BM73" s="2" t="s">
        <v>55</v>
      </c>
      <c r="BN73" s="2"/>
      <c r="BO73" s="2"/>
      <c r="BP73" s="2"/>
      <c r="BQ73" s="2"/>
      <c r="BR73" s="2"/>
      <c r="BS73" s="2"/>
      <c r="BT73" s="2"/>
      <c r="BU73" s="2"/>
      <c r="BV73" s="2"/>
      <c r="BW73" s="2"/>
      <c r="BX73" s="2" t="s">
        <v>55</v>
      </c>
      <c r="BY73" s="2"/>
      <c r="BZ73" s="2"/>
      <c r="CA73" s="2"/>
      <c r="CB73" s="2"/>
      <c r="CC73" s="2"/>
      <c r="CD73" s="2"/>
      <c r="CE73" s="2"/>
      <c r="CF73" s="2"/>
      <c r="CG73" s="2"/>
    </row>
    <row r="74" spans="6:85">
      <c r="F74" s="2"/>
      <c r="G74" s="12" t="s">
        <v>56</v>
      </c>
      <c r="H74" s="12" t="s">
        <v>71</v>
      </c>
      <c r="I74" s="2" t="s">
        <v>58</v>
      </c>
      <c r="J74" s="2" t="s">
        <v>58</v>
      </c>
      <c r="K74" s="12" t="s">
        <v>59</v>
      </c>
      <c r="L74" s="2" t="s">
        <v>60</v>
      </c>
      <c r="M74" s="2" t="s">
        <v>61</v>
      </c>
      <c r="N74" s="2" t="s">
        <v>62</v>
      </c>
      <c r="O74" s="2"/>
      <c r="P74" s="2"/>
      <c r="Q74" s="2"/>
      <c r="R74" s="2"/>
      <c r="S74" s="2"/>
      <c r="U74" s="2"/>
      <c r="V74" s="12" t="s">
        <v>56</v>
      </c>
      <c r="W74" s="12" t="s">
        <v>71</v>
      </c>
      <c r="X74" s="2" t="s">
        <v>58</v>
      </c>
      <c r="Y74" s="2" t="s">
        <v>58</v>
      </c>
      <c r="Z74" s="12" t="s">
        <v>59</v>
      </c>
      <c r="AA74" s="2" t="s">
        <v>60</v>
      </c>
      <c r="AB74" s="2" t="s">
        <v>61</v>
      </c>
      <c r="AC74" s="2" t="s">
        <v>62</v>
      </c>
      <c r="AD74" s="2"/>
      <c r="AE74" s="2"/>
      <c r="AF74" s="2"/>
      <c r="AG74" s="2"/>
      <c r="AH74" s="2"/>
      <c r="AI74" s="2"/>
      <c r="AJ74" s="12" t="s">
        <v>56</v>
      </c>
      <c r="AK74" s="12" t="s">
        <v>71</v>
      </c>
      <c r="AL74" s="2" t="s">
        <v>58</v>
      </c>
      <c r="AM74" s="2" t="s">
        <v>58</v>
      </c>
      <c r="AN74" s="12" t="s">
        <v>59</v>
      </c>
      <c r="AO74" s="2" t="s">
        <v>60</v>
      </c>
      <c r="AP74" s="2" t="s">
        <v>61</v>
      </c>
      <c r="AQ74" s="2" t="s">
        <v>62</v>
      </c>
      <c r="AR74" s="2"/>
      <c r="AS74" s="2"/>
      <c r="AT74" s="2"/>
      <c r="AU74" s="2"/>
      <c r="AW74" s="2"/>
      <c r="AX74" s="12" t="s">
        <v>56</v>
      </c>
      <c r="AY74" s="12" t="s">
        <v>71</v>
      </c>
      <c r="AZ74" s="2" t="s">
        <v>58</v>
      </c>
      <c r="BA74" s="2" t="s">
        <v>58</v>
      </c>
      <c r="BB74" s="12" t="s">
        <v>59</v>
      </c>
      <c r="BC74" s="2" t="s">
        <v>60</v>
      </c>
      <c r="BD74" s="2" t="s">
        <v>61</v>
      </c>
      <c r="BE74" s="2" t="s">
        <v>62</v>
      </c>
      <c r="BF74" s="2"/>
      <c r="BG74" s="2"/>
      <c r="BH74" s="2"/>
      <c r="BK74" s="2"/>
      <c r="BL74" s="12" t="s">
        <v>56</v>
      </c>
      <c r="BM74" s="12" t="s">
        <v>71</v>
      </c>
      <c r="BN74" s="2" t="s">
        <v>58</v>
      </c>
      <c r="BO74" s="2" t="s">
        <v>58</v>
      </c>
      <c r="BP74" s="12" t="s">
        <v>59</v>
      </c>
      <c r="BQ74" s="2" t="s">
        <v>60</v>
      </c>
      <c r="BR74" s="2" t="s">
        <v>61</v>
      </c>
      <c r="BS74" s="2" t="s">
        <v>62</v>
      </c>
      <c r="BT74" s="2"/>
      <c r="BU74" s="2"/>
      <c r="BV74" s="2"/>
      <c r="BW74" s="12" t="s">
        <v>56</v>
      </c>
      <c r="BX74" s="12" t="s">
        <v>71</v>
      </c>
      <c r="BY74" s="2" t="s">
        <v>58</v>
      </c>
      <c r="BZ74" s="2" t="s">
        <v>58</v>
      </c>
      <c r="CA74" s="12" t="s">
        <v>59</v>
      </c>
      <c r="CB74" s="2" t="s">
        <v>60</v>
      </c>
      <c r="CC74" s="2" t="s">
        <v>61</v>
      </c>
      <c r="CD74" s="2" t="s">
        <v>62</v>
      </c>
      <c r="CE74" s="2"/>
      <c r="CF74" s="2"/>
      <c r="CG74" s="2"/>
    </row>
    <row r="75" spans="6:85">
      <c r="F75" s="2">
        <v>1</v>
      </c>
      <c r="G75" s="3" t="s">
        <v>63</v>
      </c>
      <c r="H75" s="14">
        <f>IF(I32=2, 0.0022, IF(I32=3, 0.0022, IF(I32=4, 0.0011, IF(I32=5, 0.0011, IF(I32=6, 0.0014, IF(I32=7, 0.0014, IF(I32=8, 0.0016, IF(I32=9, 0.0016, IF(I32=1, 0.00154, "")))))))))</f>
        <v>2.2000000000000001E-3</v>
      </c>
      <c r="I75" s="3" t="str">
        <f>IF((J$8=G75),F75,"")</f>
        <v/>
      </c>
      <c r="J75" s="3">
        <f>IFERROR(SMALL(I$75:I$80,F75),"")</f>
        <v>2</v>
      </c>
      <c r="K75" s="3">
        <f>IF(I32=1, 64.25, IF(I32=2, 69.333, IF(I32=3, 69.333, IF(I32=4, 69.333, IF(I32=5, 64.25, IF(I32=6,64.25, IF(I32=7,64.25, IF(I32=8, 64.25, IF(I32=9, 64.25,"")))))))))</f>
        <v>69.332999999999998</v>
      </c>
      <c r="L75" s="3" t="b">
        <f>IF(J$75=F75,J$10*(K75*H75))</f>
        <v>0</v>
      </c>
      <c r="M75" s="3" t="b">
        <f>IF(J$75=F75,J$11*(K75*H75))</f>
        <v>0</v>
      </c>
      <c r="N75" s="3">
        <f>((((L75-M75)/1000)*9320)*0.000001)*J6</f>
        <v>0</v>
      </c>
      <c r="O75" s="2" t="s">
        <v>64</v>
      </c>
      <c r="P75" s="2"/>
      <c r="Q75" s="2"/>
      <c r="R75" s="2"/>
      <c r="S75" s="2"/>
      <c r="U75" s="2">
        <v>1</v>
      </c>
      <c r="V75" s="3" t="s">
        <v>63</v>
      </c>
      <c r="W75" s="14">
        <f>IF(X32=2, 0.0022, IF(X32=3, 0.0022, IF(X32=4, 0.0011, IF(X32=5, 0.0011, IF(X32=6, 0.0014, IF(X32=7, 0.0014, IF(X32=8, 0.0016, IF(X32=9, 0.0016, IF(X32=1, 0.00154, "")))))))))</f>
        <v>1.5399999999999999E-3</v>
      </c>
      <c r="X75" s="3" t="str">
        <f>IF((K$8=V75),U75,"")</f>
        <v/>
      </c>
      <c r="Y75" s="3">
        <f>IFERROR(SMALL(X$75:X$80,U75),"")</f>
        <v>2</v>
      </c>
      <c r="Z75" s="3">
        <f>IF(X32=1, 64.25, IF(X32=2, 69.333, IF(X32=3, 69.333, IF(X32=4, 69.333, IF(X32=5, 64.25, IF(X32=6,64.25, IF(X32=7,64.25, IF(X32=8, 64.25, IF(X32=9, 64.25,"")))))))))</f>
        <v>64.25</v>
      </c>
      <c r="AA75" s="3" t="b">
        <f>IF(Y$75=U75,K$10*(Z75*W75))</f>
        <v>0</v>
      </c>
      <c r="AB75" s="3" t="b">
        <f>IF(Y$75=U75,K$11*(Z75*W75))</f>
        <v>0</v>
      </c>
      <c r="AC75" s="3">
        <f>((((AA75-AB75)/1000)*9320)*0.000001)*K6</f>
        <v>0</v>
      </c>
      <c r="AD75" s="2" t="s">
        <v>64</v>
      </c>
      <c r="AE75" s="2"/>
      <c r="AF75" s="2"/>
      <c r="AG75" s="2"/>
      <c r="AH75" s="2"/>
      <c r="AI75" s="2">
        <v>1</v>
      </c>
      <c r="AJ75" s="3" t="s">
        <v>63</v>
      </c>
      <c r="AK75" s="14" t="str">
        <f>IF(AL31=2, 0.0022, IF(AL31=3, 0.0022, IF(AL31=4, 0.0011, IF(AL31=5, 0.0011, IF(AL31=6, 0.0014, IF(AL31=7, 0.0014, IF(AL31=8, 0.0016, IF(AL31=9, 0.0016, IF(AL31=1, 0.00154, "")))))))))</f>
        <v/>
      </c>
      <c r="AL75" s="3" t="str">
        <f>IF((L$8=AJ75),AI75,"")</f>
        <v/>
      </c>
      <c r="AM75" s="3" t="str">
        <f>IFERROR(SMALL(AL$75:AL$80,AI75),"")</f>
        <v/>
      </c>
      <c r="AN75" s="3" t="str">
        <f>IF(AL31=1, 64.25, IF(AL31=2, 69.333, IF(AL31=3, 69.333, IF(AL31=4, 69.333, IF(AL31=5, 64.25, IF(AL31=6,64.25, IF(AL31=7,64.25, IF(AL31=8, 64.25, IF(AL31=9, 64.25,"")))))))))</f>
        <v/>
      </c>
      <c r="AO75" s="3" t="b">
        <f>IF(AM$75=AI75,L$10*(AN75*AK75))</f>
        <v>0</v>
      </c>
      <c r="AP75" s="3" t="b">
        <f>IF(AM$75=AI75,L$11*(AN75*AK75))</f>
        <v>0</v>
      </c>
      <c r="AQ75" s="3">
        <f>((((AO75-AP75)/1000)*9320)*0.000001)*L6</f>
        <v>0</v>
      </c>
      <c r="AR75" s="2" t="s">
        <v>64</v>
      </c>
      <c r="AS75" s="2"/>
      <c r="AT75" s="2"/>
      <c r="AU75" s="2"/>
      <c r="AW75" s="2">
        <v>1</v>
      </c>
      <c r="AX75" s="3" t="s">
        <v>63</v>
      </c>
      <c r="AY75" s="14" t="str">
        <f>IF(AZ31=2, 0.0022, IF(AZ31=3, 0.0022, IF(AZ31=4, 0.0011, IF(AZ31=5, 0.0011, IF(AZ31=6, 0.0014, IF(AZ31=7, 0.0014, IF(AZ31=8, 0.0016, IF(AZ31=9, 0.0016, IF(AZ31=1, 0.00154, "")))))))))</f>
        <v/>
      </c>
      <c r="AZ75" s="3" t="str">
        <f>IF((M$8=AX75),AW75,"")</f>
        <v/>
      </c>
      <c r="BA75" s="3" t="str">
        <f>IFERROR(SMALL(AZ$75:AZ$80,AW75),"")</f>
        <v/>
      </c>
      <c r="BB75" s="3" t="str">
        <f>IF(AZ31=1, 64.25, IF(AZ31=2, 69.333, IF(AZ31=3, 69.333, IF(AZ31=4, 69.333, IF(AZ31=5, 64.25, IF(AZ31=6,64.25, IF(AZ31=7,64.25, IF(AZ31=8, 64.25, IF(AZ31=9, 64.25,"")))))))))</f>
        <v/>
      </c>
      <c r="BC75" s="3" t="b">
        <f>IF(BA$75=AW75,M$10*(BB75*AY75))</f>
        <v>0</v>
      </c>
      <c r="BD75" s="3" t="b">
        <f>IF(BA$75=AW75,M$11*(BB75*AY75))</f>
        <v>0</v>
      </c>
      <c r="BE75" s="3">
        <f>((((BC75-BD75)/1000)*9320)*0.000001)*M6</f>
        <v>0</v>
      </c>
      <c r="BF75" s="2" t="s">
        <v>64</v>
      </c>
      <c r="BG75" s="2"/>
      <c r="BH75" s="2"/>
      <c r="BK75" s="2">
        <v>1</v>
      </c>
      <c r="BL75" s="3" t="s">
        <v>63</v>
      </c>
      <c r="BM75" s="14" t="str">
        <f>IF(BN30=2, 0.0022, IF(BN30=3, 0.0022, IF(BN30=4, 0.0011, IF(BN30=5, 0.0011, IF(BN30=6, 0.0014, IF(BN30=7, 0.0014, IF(BN30=8, 0.0016, IF(BN30=9, 0.0016, IF(BN30=1, 0.00154, "")))))))))</f>
        <v/>
      </c>
      <c r="BN75" s="3" t="str">
        <f>IF((N$8=BL75),BK75,"")</f>
        <v/>
      </c>
      <c r="BO75" s="3" t="str">
        <f>IFERROR(SMALL(BN$75:BN$80,BK75),"")</f>
        <v/>
      </c>
      <c r="BP75" s="3" t="str">
        <f>IF(BN30=1, 64.25, IF(BN30=2, 69.333, IF(BN30=3, 69.333, IF(BN30=4, 69.333, IF(BN30=5, 64.25, IF(BN30=6,64.25, IF(BN30=7,64.25, IF(BN30=8, 64.25, IF(BN30=9, 64.25,"")))))))))</f>
        <v/>
      </c>
      <c r="BQ75" s="3" t="b">
        <f>IF(BO$75=BK75,N$10*(BP75*BM75))</f>
        <v>0</v>
      </c>
      <c r="BR75" s="3" t="b">
        <f>IF(BO$75=BK75,N$11*(BP75*BM75))</f>
        <v>0</v>
      </c>
      <c r="BS75" s="3">
        <f>((((BQ75-BR75)/1000)*9320)*0.000001)*N6</f>
        <v>0</v>
      </c>
      <c r="BT75" s="2" t="s">
        <v>64</v>
      </c>
      <c r="BU75" s="2"/>
      <c r="BV75" s="2">
        <v>1</v>
      </c>
      <c r="BW75" s="3" t="s">
        <v>63</v>
      </c>
      <c r="BX75" s="14" t="str">
        <f>IF(BY30=2, 0.0022, IF(BY30=3, 0.0022, IF(BY30=4, 0.0011, IF(BY30=5, 0.0011, IF(BY30=6, 0.0014, IF(BY30=7, 0.0014, IF(BY30=8, 0.0016, IF(BY30=9, 0.0016, IF(BY30=1, 0.00154, "")))))))))</f>
        <v/>
      </c>
      <c r="BY75" s="3" t="str">
        <f>IF((O$8=BW75),BV75,"")</f>
        <v/>
      </c>
      <c r="BZ75" s="3" t="str">
        <f>IFERROR(SMALL(BY$75:BY$80,BV75),"")</f>
        <v/>
      </c>
      <c r="CA75" s="3" t="str">
        <f>IF(BY30=1, 64.25, IF(BY30=2, 69.333, IF(BY30=3, 69.333, IF(BY30=4, 69.333, IF(BY30=5, 64.25, IF(BY30=6,64.25, IF(BY30=7,64.25, IF(BY30=8, 64.25, IF(BY30=9, 64.25,"")))))))))</f>
        <v/>
      </c>
      <c r="CB75" s="3" t="b">
        <f>IF(BZ$75=BV75,O$10*(CA75*BX75))</f>
        <v>0</v>
      </c>
      <c r="CC75" s="3" t="b">
        <f>IF(BZ$75=BV75,O$11*(CA75*BX75))</f>
        <v>0</v>
      </c>
      <c r="CD75" s="3">
        <f>((((CB75-CC75)/1000)*9320)*0.000001)*O6</f>
        <v>0</v>
      </c>
      <c r="CE75" s="2" t="s">
        <v>64</v>
      </c>
      <c r="CF75" s="2"/>
      <c r="CG75" s="2"/>
    </row>
    <row r="76" spans="6:85">
      <c r="F76" s="2">
        <v>2</v>
      </c>
      <c r="G76" s="3" t="s">
        <v>19</v>
      </c>
      <c r="H76" s="14">
        <f>IF(I32=2, 0.0842, IF(I32=3, 0.0548, IF(I32=4, 0.0391, IF(I32=5, 0.314, IF(I32=6, 0.0021, IF(I32=7, 0.0015, IF(I32=8, 0.0015, IF(I32=9, 0.0015, IF(I32=1, 0.02239, "")))))))))</f>
        <v>8.4199999999999997E-2</v>
      </c>
      <c r="I76" s="3">
        <f>IF((J$8=G76),F76,"")</f>
        <v>2</v>
      </c>
      <c r="J76" s="3" t="str">
        <f>IFERROR(SMALL(I$75:I$80,F76),"")</f>
        <v/>
      </c>
      <c r="K76" s="3">
        <f>IF(I32=1, 55.333, IF(I32=2, 64, IF(I32=3, 64, IF(I32=4, 64, IF(I32=5, 55.333, IF(I32=6,55.333, IF(I32=7,55.333, IF(I32=8, 55.333, IF(I32=9, 55.333,"")))))))))</f>
        <v>64</v>
      </c>
      <c r="L76" s="3">
        <f>IF(J$75=F76,J$10*(K76*H76))</f>
        <v>538880</v>
      </c>
      <c r="M76" s="3">
        <f>IF(J$75=F76,J$11*(K76*H76))</f>
        <v>484992</v>
      </c>
      <c r="N76" s="3">
        <f>((((L76-M76)/1000)*14415)*0.000001)*J6</f>
        <v>0.77679551999999996</v>
      </c>
      <c r="O76" s="2" t="s">
        <v>64</v>
      </c>
      <c r="P76" s="2"/>
      <c r="Q76" s="2"/>
      <c r="R76" s="2"/>
      <c r="S76" s="2"/>
      <c r="U76" s="2">
        <v>2</v>
      </c>
      <c r="V76" s="3" t="s">
        <v>19</v>
      </c>
      <c r="W76" s="14">
        <f>IF(X32=2, 0.0842, IF(X32=3, 0.0548, IF(X32=4, 0.0391, IF(X32=5, 0.314, IF(X32=6, 0.0021, IF(X32=7, 0.0015, IF(X32=8, 0.0015, IF(X32=9, 0.0015, IF(X32=1, 0.02239, "")))))))))</f>
        <v>2.239E-2</v>
      </c>
      <c r="X76" s="3">
        <f>IF((K$8=V76),U76,"")</f>
        <v>2</v>
      </c>
      <c r="Y76" s="3" t="str">
        <f>IFERROR(SMALL(X$75:X$80,U76),"")</f>
        <v/>
      </c>
      <c r="Z76" s="3">
        <f>IF(X32=1, 55.333, IF(X32=2, 64, IF(X32=3, 64, IF(X32=4, 64, IF(X32=5, 55.333, IF(X32=6,55.333, IF(X32=7,55.333, IF(X32=8, 55.333, IF(X32=9, 55.333,"")))))))))</f>
        <v>55.332999999999998</v>
      </c>
      <c r="AA76" s="3">
        <f>IF(Y$75=U76,K$10*(Z76*W76))</f>
        <v>0</v>
      </c>
      <c r="AB76" s="3">
        <f>IF(Y$75=U76,K$11*(Z76*W76))</f>
        <v>0</v>
      </c>
      <c r="AC76" s="3">
        <f>((((AA76-AB76)/1000)*14415)*0.000001)*K6</f>
        <v>0</v>
      </c>
      <c r="AD76" s="2" t="s">
        <v>64</v>
      </c>
      <c r="AE76" s="2"/>
      <c r="AF76" s="2"/>
      <c r="AG76" s="2"/>
      <c r="AH76" s="2"/>
      <c r="AI76" s="2">
        <v>2</v>
      </c>
      <c r="AJ76" s="3" t="s">
        <v>19</v>
      </c>
      <c r="AK76" s="14" t="str">
        <f>IF(AL31=2, 0.0842, IF(AL31=3, 0.0548, IF(AL31=4, 0.0391, IF(AL31=5, 0.314, IF(AL31=6, 0.0021, IF(AL31=7, 0.0015, IF(AL31=8, 0.0015, IF(AL31=9, 0.0015, IF(AL31=1, 0.02239, "")))))))))</f>
        <v/>
      </c>
      <c r="AL76" s="3" t="str">
        <f>IF((L$8=AJ76),AI76,"")</f>
        <v/>
      </c>
      <c r="AM76" s="3" t="str">
        <f>IFERROR(SMALL(AL$75:AL$80,AI76),"")</f>
        <v/>
      </c>
      <c r="AN76" s="3" t="str">
        <f>IF(AL31=1, 55.333, IF(AL31=2, 64, IF(AL31=3, 64, IF(AL31=4, 64, IF(AL31=5, 55.333, IF(AL31=6,55.333, IF(AL31=7,55.333, IF(AL31=8, 55.333, IF(AL31=9, 55.333,"")))))))))</f>
        <v/>
      </c>
      <c r="AO76" s="3" t="b">
        <f>IF(AM$75=AI76,L$10*(AN76*AK76))</f>
        <v>0</v>
      </c>
      <c r="AP76" s="3" t="b">
        <f>IF(AM$75=AI76,L$11*(AN76*AK76))</f>
        <v>0</v>
      </c>
      <c r="AQ76" s="3">
        <f>((((AO76-AP76)/1000)*14415)*0.000001)*L6</f>
        <v>0</v>
      </c>
      <c r="AR76" s="2" t="s">
        <v>64</v>
      </c>
      <c r="AS76" s="2"/>
      <c r="AT76" s="2"/>
      <c r="AU76" s="2"/>
      <c r="AW76" s="2">
        <v>2</v>
      </c>
      <c r="AX76" s="3" t="s">
        <v>19</v>
      </c>
      <c r="AY76" s="14" t="str">
        <f>IF(AZ31=2, 0.0842, IF(AZ31=3, 0.0548, IF(AZ31=4, 0.0391, IF(AZ31=5, 0.314, IF(AZ31=6, 0.0021, IF(AZ31=7, 0.0015, IF(AZ31=8, 0.0015, IF(AZ31=9, 0.0015, IF(AZ31=1, 0.02239, "")))))))))</f>
        <v/>
      </c>
      <c r="AZ76" s="3" t="str">
        <f>IF((M$8=AX76),AW76,"")</f>
        <v/>
      </c>
      <c r="BA76" s="3" t="str">
        <f>IFERROR(SMALL(AZ$75:AZ$80,AW76),"")</f>
        <v/>
      </c>
      <c r="BB76" s="3" t="str">
        <f>IF(AZ31=1, 55.333, IF(AZ31=2, 64, IF(AZ31=3, 64, IF(AZ31=4, 64, IF(AZ31=5, 55.333, IF(AZ31=6,55.333, IF(AZ31=7,55.333, IF(AZ31=8, 55.333, IF(AZ31=9, 55.333,"")))))))))</f>
        <v/>
      </c>
      <c r="BC76" s="3" t="b">
        <f>IF(BA$75=AW76,M$10*(BB76*AY76))</f>
        <v>0</v>
      </c>
      <c r="BD76" s="3" t="b">
        <f>IF(BA$75=AW76,M$11*(BB76*AY76))</f>
        <v>0</v>
      </c>
      <c r="BE76" s="3">
        <f>((((BC76-BD76)/1000)*14415)*0.000001)*M6</f>
        <v>0</v>
      </c>
      <c r="BF76" s="2" t="s">
        <v>64</v>
      </c>
      <c r="BG76" s="2"/>
      <c r="BH76" s="2"/>
      <c r="BK76" s="2">
        <v>2</v>
      </c>
      <c r="BL76" s="3" t="s">
        <v>19</v>
      </c>
      <c r="BM76" s="14" t="str">
        <f>IF(BN30=2, 0.0842, IF(BN30=3, 0.0548, IF(BN30=4, 0.0391, IF(BN30=5, 0.314, IF(BN30=6, 0.0021, IF(BN30=7, 0.0015, IF(BN30=8, 0.0015, IF(BN30=9, 0.0015, IF(BN30=1, 0.02239, "")))))))))</f>
        <v/>
      </c>
      <c r="BN76" s="3" t="str">
        <f>IF((N$8=BL76),BK76,"")</f>
        <v/>
      </c>
      <c r="BO76" s="3" t="str">
        <f>IFERROR(SMALL(BN$75:BN$80,BK76),"")</f>
        <v/>
      </c>
      <c r="BP76" s="3" t="str">
        <f>IF(BN30=1, 55.333, IF(BN30=2, 64, IF(BN30=3, 64, IF(BN30=4, 64, IF(BN30=5, 55.333, IF(BN30=6,55.333, IF(BN30=7,55.333, IF(BN30=8, 55.333, IF(BN30=9, 55.333,"")))))))))</f>
        <v/>
      </c>
      <c r="BQ76" s="3" t="b">
        <f>IF(BO$75=BK76,N$10*(BP76*BM76))</f>
        <v>0</v>
      </c>
      <c r="BR76" s="3" t="b">
        <f>IF(BO$75=BK76,N$11*(BP76*BM76))</f>
        <v>0</v>
      </c>
      <c r="BS76" s="3">
        <f>((((BQ76-BR76)/1000)*14415)*0.000001)*N6</f>
        <v>0</v>
      </c>
      <c r="BT76" s="2" t="s">
        <v>64</v>
      </c>
      <c r="BU76" s="2"/>
      <c r="BV76" s="2">
        <v>2</v>
      </c>
      <c r="BW76" s="3" t="s">
        <v>19</v>
      </c>
      <c r="BX76" s="14" t="str">
        <f>IF(BY30=2, 0.0842, IF(BY30=3, 0.0548, IF(BY30=4, 0.0391, IF(BY30=5, 0.314, IF(BY30=6, 0.0021, IF(BY30=7, 0.0015, IF(BY30=8, 0.0015, IF(BY30=9, 0.0015, IF(BY30=1, 0.02239, "")))))))))</f>
        <v/>
      </c>
      <c r="BY76" s="3" t="str">
        <f>IF((O$8=BW76),BV76,"")</f>
        <v/>
      </c>
      <c r="BZ76" s="3" t="str">
        <f>IFERROR(SMALL(BY$75:BY$80,BV76),"")</f>
        <v/>
      </c>
      <c r="CA76" s="3" t="str">
        <f>IF(BY30=1, 55.333, IF(BY30=2, 64, IF(BY30=3, 64, IF(BY30=4, 64, IF(BY30=5, 55.333, IF(BY30=6,55.333, IF(BY30=7,55.333, IF(BY30=8, 55.333, IF(BY30=9, 55.333,"")))))))))</f>
        <v/>
      </c>
      <c r="CB76" s="3" t="b">
        <f>IF(BZ$75=BV76,O$10*(CA76*BX76))</f>
        <v>0</v>
      </c>
      <c r="CC76" s="3" t="b">
        <f>IF(BZ$75=BV76,O$11*(CA76*BX76))</f>
        <v>0</v>
      </c>
      <c r="CD76" s="3">
        <f>((((CB76-CC76)/1000)*14415)*0.000001)*O6</f>
        <v>0</v>
      </c>
      <c r="CE76" s="2" t="s">
        <v>64</v>
      </c>
      <c r="CF76" s="2"/>
      <c r="CG76" s="2"/>
    </row>
    <row r="77" spans="6:85">
      <c r="F77" s="2">
        <v>3</v>
      </c>
      <c r="G77" s="3" t="s">
        <v>65</v>
      </c>
      <c r="H77" s="3">
        <f>IF(N32=2,0.0022,IF(N32=3,0.0022,IF(N32=4,0.0011,IF(N32=5,0.0011,IF(N32=1,0.00165, "")))))</f>
        <v>2.2000000000000001E-3</v>
      </c>
      <c r="I77" s="3" t="str">
        <f>IF((J$8=G77),F77,"")</f>
        <v/>
      </c>
      <c r="J77" s="3" t="str">
        <f>IFERROR(SMALL(I$75:I$80,F77),"")</f>
        <v/>
      </c>
      <c r="K77" s="3">
        <f>57</f>
        <v>57</v>
      </c>
      <c r="L77" s="3" t="b">
        <f>IF(J$75=F77,J$10*(K77*H77))</f>
        <v>0</v>
      </c>
      <c r="M77" s="3" t="b">
        <f>IF(J$75=F77,J$11*(K77*H77))</f>
        <v>0</v>
      </c>
      <c r="N77" s="3">
        <f>((((L77-M77)/1000)*12310)*0.000001)*J6</f>
        <v>0</v>
      </c>
      <c r="O77" s="2" t="s">
        <v>64</v>
      </c>
      <c r="P77" s="2"/>
      <c r="Q77" s="2"/>
      <c r="R77" s="2"/>
      <c r="S77" s="2"/>
      <c r="U77" s="2">
        <v>3</v>
      </c>
      <c r="V77" s="3" t="s">
        <v>65</v>
      </c>
      <c r="W77" s="3">
        <f>IF(AC32=2,0.0022,IF(AC32=3,0.0022,IF(AC32=4,0.0011,IF(AC32=5,0.0011,IF(AC32=1,0.00165, "")))))</f>
        <v>1.65E-3</v>
      </c>
      <c r="X77" s="3" t="str">
        <f>IF((K$8=V77),U77,"")</f>
        <v/>
      </c>
      <c r="Y77" s="3" t="str">
        <f>IFERROR(SMALL(X$75:X$80,U77),"")</f>
        <v/>
      </c>
      <c r="Z77" s="3">
        <f>57</f>
        <v>57</v>
      </c>
      <c r="AA77" s="3" t="b">
        <f>IF(Y$75=U77,K$10*(Z77*W77))</f>
        <v>0</v>
      </c>
      <c r="AB77" s="3" t="b">
        <f>IF(Y$75=U77,K$11*(Z77*W77))</f>
        <v>0</v>
      </c>
      <c r="AC77" s="3">
        <f>((((AA77-AB77)/1000)*12310)*0.000001)*K6</f>
        <v>0</v>
      </c>
      <c r="AD77" s="2" t="s">
        <v>64</v>
      </c>
      <c r="AE77" s="2"/>
      <c r="AF77" s="2"/>
      <c r="AG77" s="2"/>
      <c r="AH77" s="2"/>
      <c r="AI77" s="2">
        <v>3</v>
      </c>
      <c r="AJ77" s="3" t="s">
        <v>65</v>
      </c>
      <c r="AK77" s="3" t="str">
        <f>IF(AQ31=2,0.0022,IF(AQ31=3,0.0022,IF(AQ31=4,0.0011,IF(AQ31=5,0.0011,IF(AQ31=1,0.00165, "")))))</f>
        <v/>
      </c>
      <c r="AL77" s="3" t="str">
        <f>IF((L$8=AJ77),AI77,"")</f>
        <v/>
      </c>
      <c r="AM77" s="3" t="str">
        <f>IFERROR(SMALL(AL$75:AL$80,AI77),"")</f>
        <v/>
      </c>
      <c r="AN77" s="3">
        <f>57</f>
        <v>57</v>
      </c>
      <c r="AO77" s="3" t="b">
        <f>IF(AM$75=AI77,L$10*(AN77*AK77))</f>
        <v>0</v>
      </c>
      <c r="AP77" s="3" t="b">
        <f>IF(AM$75=AI77,L$11*(AN77*AK77))</f>
        <v>0</v>
      </c>
      <c r="AQ77" s="3">
        <f>((((AO77-AP77)/1000)*12310)*0.000001)*L6</f>
        <v>0</v>
      </c>
      <c r="AR77" s="2" t="s">
        <v>64</v>
      </c>
      <c r="AS77" s="2"/>
      <c r="AT77" s="2"/>
      <c r="AU77" s="2"/>
      <c r="AW77" s="2">
        <v>3</v>
      </c>
      <c r="AX77" s="3" t="s">
        <v>65</v>
      </c>
      <c r="AY77" s="3" t="str">
        <f>IF(BE31=2,0.0022,IF(BE31=3,0.0022,IF(BE31=4,0.0011,IF(BE31=5,0.0011,IF(BE31=1,0.00165, "")))))</f>
        <v/>
      </c>
      <c r="AZ77" s="3" t="str">
        <f>IF((M$8=AX77),AW77,"")</f>
        <v/>
      </c>
      <c r="BA77" s="3" t="str">
        <f>IFERROR(SMALL(AZ$75:AZ$80,AW77),"")</f>
        <v/>
      </c>
      <c r="BB77" s="3">
        <f>57</f>
        <v>57</v>
      </c>
      <c r="BC77" s="3" t="b">
        <f>IF(BA$75=AW77,M$10*(BB77*AY77))</f>
        <v>0</v>
      </c>
      <c r="BD77" s="3" t="b">
        <f>IF(BA$75=AW77,M$11*(BB77*AY77))</f>
        <v>0</v>
      </c>
      <c r="BE77" s="3">
        <f>((((BC77-BD77)/1000)*12310)*0.000001)*M6</f>
        <v>0</v>
      </c>
      <c r="BF77" s="2" t="s">
        <v>64</v>
      </c>
      <c r="BG77" s="2"/>
      <c r="BH77" s="2"/>
      <c r="BK77" s="2">
        <v>3</v>
      </c>
      <c r="BL77" s="3" t="s">
        <v>65</v>
      </c>
      <c r="BM77" s="3" t="str">
        <f>IF(BS30=2,0.0022,IF(BS30=3,0.0022,IF(BS30=4,0.0011,IF(BS30=5,0.0011,IF(BS30=1,0.00165, "")))))</f>
        <v/>
      </c>
      <c r="BN77" s="3" t="str">
        <f>IF((N$8=BL77),BK77,"")</f>
        <v/>
      </c>
      <c r="BO77" s="3" t="str">
        <f>IFERROR(SMALL(BN$75:BN$80,BK77),"")</f>
        <v/>
      </c>
      <c r="BP77" s="3">
        <f>57</f>
        <v>57</v>
      </c>
      <c r="BQ77" s="3" t="b">
        <f>IF(BO$75=BK77,N$10*(BP77*BM77))</f>
        <v>0</v>
      </c>
      <c r="BR77" s="3" t="b">
        <f>IF(BO$75=BK77,N$11*(BP77*BM77))</f>
        <v>0</v>
      </c>
      <c r="BS77" s="3">
        <f>((((BQ77-BR77)/1000)*12310)*0.000001)*N6</f>
        <v>0</v>
      </c>
      <c r="BT77" s="2" t="s">
        <v>64</v>
      </c>
      <c r="BU77" s="2"/>
      <c r="BV77" s="2">
        <v>3</v>
      </c>
      <c r="BW77" s="3" t="s">
        <v>65</v>
      </c>
      <c r="BX77" s="3" t="str">
        <f>IF(CD30=2,0.0022,IF(CD30=3,0.0022,IF(CD30=4,0.0011,IF(CD30=5,0.0011,IF(CD30=1,0.00165, "")))))</f>
        <v/>
      </c>
      <c r="BY77" s="3" t="str">
        <f>IF((O$8=BW77),BV77,"")</f>
        <v/>
      </c>
      <c r="BZ77" s="3" t="str">
        <f>IFERROR(SMALL(BY$75:BY$80,BV77),"")</f>
        <v/>
      </c>
      <c r="CA77" s="3">
        <f>57</f>
        <v>57</v>
      </c>
      <c r="CB77" s="3" t="b">
        <f>IF(BZ$75=BV77,O$10*(CA77*BX77))</f>
        <v>0</v>
      </c>
      <c r="CC77" s="3" t="b">
        <f>IF(BZ$75=BV77,O$11*(CA77*BX77))</f>
        <v>0</v>
      </c>
      <c r="CD77" s="3">
        <f>((((CB77-CC77)/1000)*12310)*0.000001)*O6</f>
        <v>0</v>
      </c>
      <c r="CE77" s="2" t="s">
        <v>64</v>
      </c>
      <c r="CF77" s="2"/>
      <c r="CG77" s="2"/>
    </row>
    <row r="78" spans="6:85">
      <c r="F78" s="11">
        <v>4</v>
      </c>
      <c r="G78" s="7" t="s">
        <v>66</v>
      </c>
      <c r="H78" s="7">
        <v>1.5E-3</v>
      </c>
      <c r="I78" s="7" t="str">
        <f>IF((Q$8=G78),F78,"")</f>
        <v/>
      </c>
      <c r="J78" s="7" t="str">
        <f>IFERROR(SMALL(I$80:I$82,F78),"")</f>
        <v/>
      </c>
      <c r="K78" s="7">
        <f>39.57</f>
        <v>39.57</v>
      </c>
      <c r="L78" s="7" t="b">
        <f>IF(J$80=F78,I$8*(K78*H78))</f>
        <v>0</v>
      </c>
      <c r="M78" s="7" t="b">
        <f>IF(J$80=F78,L$8*(K78*H78))</f>
        <v>0</v>
      </c>
      <c r="N78" s="7">
        <f>L78-M78</f>
        <v>0</v>
      </c>
      <c r="O78" s="2"/>
      <c r="P78" s="2"/>
      <c r="Q78" s="2"/>
      <c r="R78" s="2"/>
      <c r="S78" s="2"/>
      <c r="U78" s="11">
        <v>4</v>
      </c>
      <c r="V78" s="7" t="s">
        <v>66</v>
      </c>
      <c r="W78" s="7">
        <v>1.5E-3</v>
      </c>
      <c r="X78" s="7" t="str">
        <f>IF((AF$8=V78),U78,"")</f>
        <v/>
      </c>
      <c r="Y78" s="7" t="str">
        <f>IFERROR(SMALL(X$80:X$82,U78),"")</f>
        <v/>
      </c>
      <c r="Z78" s="7">
        <f>39.57</f>
        <v>39.57</v>
      </c>
      <c r="AA78" s="7" t="b">
        <f>IF(Y$80=U78,X$8*(Z78*W78))</f>
        <v>0</v>
      </c>
      <c r="AB78" s="7" t="b">
        <f>IF(Y$80=U78,AA$8*(Z78*W78))</f>
        <v>0</v>
      </c>
      <c r="AC78" s="7">
        <f>AA78-AB78</f>
        <v>0</v>
      </c>
      <c r="AD78" s="2"/>
      <c r="AE78" s="2"/>
      <c r="AF78" s="2"/>
      <c r="AG78" s="2"/>
      <c r="AH78" s="2"/>
      <c r="AI78" s="11">
        <v>4</v>
      </c>
      <c r="AJ78" s="7" t="s">
        <v>66</v>
      </c>
      <c r="AK78" s="7">
        <v>1.5E-3</v>
      </c>
      <c r="AL78" s="7" t="str">
        <f>IF((AT$8=AJ78),AI78,"")</f>
        <v/>
      </c>
      <c r="AM78" s="7" t="str">
        <f>IFERROR(SMALL(AL$80:AL$82,AI78),"")</f>
        <v/>
      </c>
      <c r="AN78" s="7">
        <f>39.57</f>
        <v>39.57</v>
      </c>
      <c r="AO78" s="7" t="b">
        <f>IF(AM$80=AI78,AL$8*(AN78*AK78))</f>
        <v>0</v>
      </c>
      <c r="AP78" s="7" t="b">
        <f>IF(AM$80=AI78,AO$8*(AN78*AK78))</f>
        <v>0</v>
      </c>
      <c r="AQ78" s="7">
        <f>AO78-AP78</f>
        <v>0</v>
      </c>
      <c r="AR78" s="2"/>
      <c r="AS78" s="2"/>
      <c r="AT78" s="2"/>
      <c r="AU78" s="2"/>
      <c r="AW78" s="11">
        <v>4</v>
      </c>
      <c r="AX78" s="7" t="s">
        <v>66</v>
      </c>
      <c r="AY78" s="7">
        <v>1.5E-3</v>
      </c>
      <c r="AZ78" s="7" t="str">
        <f>IF((BH$8=AX78),AW78,"")</f>
        <v/>
      </c>
      <c r="BA78" s="7" t="str">
        <f>IFERROR(SMALL(AZ$80:AZ$82,AW78),"")</f>
        <v/>
      </c>
      <c r="BB78" s="7">
        <f>39.57</f>
        <v>39.57</v>
      </c>
      <c r="BC78" s="7" t="b">
        <f>IF(BA$80=AW78,AZ$8*(BB78*AY78))</f>
        <v>0</v>
      </c>
      <c r="BD78" s="7" t="b">
        <f>IF(BA$80=AW78,BC$8*(BB78*AY78))</f>
        <v>0</v>
      </c>
      <c r="BE78" s="7">
        <f>BC78-BD78</f>
        <v>0</v>
      </c>
      <c r="BF78" s="2"/>
      <c r="BG78" s="2"/>
      <c r="BH78" s="2"/>
      <c r="BK78" s="11">
        <v>4</v>
      </c>
      <c r="BL78" s="7" t="s">
        <v>66</v>
      </c>
      <c r="BM78" s="7">
        <v>1.5E-3</v>
      </c>
      <c r="BN78" s="7" t="str">
        <f>IF((BV$8=BL78),BK78,"")</f>
        <v/>
      </c>
      <c r="BO78" s="7" t="str">
        <f>IFERROR(SMALL(BN$80:BN$82,BK78),"")</f>
        <v/>
      </c>
      <c r="BP78" s="7">
        <f>39.57</f>
        <v>39.57</v>
      </c>
      <c r="BQ78" s="7" t="b">
        <f>IF(BO$80=BK78,BN$8*(BP78*BM78))</f>
        <v>0</v>
      </c>
      <c r="BR78" s="7" t="b">
        <f>IF(BO$80=BK78,BQ$8*(BP78*BM78))</f>
        <v>0</v>
      </c>
      <c r="BS78" s="7">
        <f>BQ78-BR78</f>
        <v>0</v>
      </c>
      <c r="BT78" s="2"/>
      <c r="BU78" s="2"/>
      <c r="BV78" s="11">
        <v>4</v>
      </c>
      <c r="BW78" s="7" t="s">
        <v>66</v>
      </c>
      <c r="BX78" s="7">
        <v>1.5E-3</v>
      </c>
      <c r="BY78" s="7" t="str">
        <f>IF((CG$8=BW78),BV78,"")</f>
        <v/>
      </c>
      <c r="BZ78" s="7" t="str">
        <f>IFERROR(SMALL(BY$80:BY$82,BV78),"")</f>
        <v/>
      </c>
      <c r="CA78" s="7">
        <f>39.57</f>
        <v>39.57</v>
      </c>
      <c r="CB78" s="7" t="b">
        <f>IF(BZ$80=BV78,BY$8*(CA78*BX78))</f>
        <v>0</v>
      </c>
      <c r="CC78" s="7" t="b">
        <f>IF(BZ$80=BV78,CB$8*(CA78*BX78))</f>
        <v>0</v>
      </c>
      <c r="CD78" s="7">
        <f>CB78-CC78</f>
        <v>0</v>
      </c>
      <c r="CE78" s="2"/>
      <c r="CF78" s="2"/>
      <c r="CG78" s="2"/>
    </row>
    <row r="79" spans="6:85">
      <c r="F79" s="11">
        <v>5</v>
      </c>
      <c r="G79" s="7" t="s">
        <v>67</v>
      </c>
      <c r="H79" s="7">
        <v>1.1000000000000001E-3</v>
      </c>
      <c r="I79" s="7" t="str">
        <f>IF((Q$8=G79),F79,"")</f>
        <v/>
      </c>
      <c r="J79" s="7" t="str">
        <f>IFERROR(SMALL(I$80:I$82,F79),"")</f>
        <v/>
      </c>
      <c r="K79" s="7">
        <f>87</f>
        <v>87</v>
      </c>
      <c r="L79" s="7" t="b">
        <f>IF(J$80=F79,I$8*(K79*H79))</f>
        <v>0</v>
      </c>
      <c r="M79" s="7" t="b">
        <f>IF(J$80=F79,L$8*(K79*H79))</f>
        <v>0</v>
      </c>
      <c r="N79" s="7">
        <f>L79-M79</f>
        <v>0</v>
      </c>
      <c r="O79" s="2"/>
      <c r="P79" s="2"/>
      <c r="Q79" s="2"/>
      <c r="R79" s="2"/>
      <c r="S79" s="2"/>
      <c r="U79" s="11">
        <v>5</v>
      </c>
      <c r="V79" s="7" t="s">
        <v>67</v>
      </c>
      <c r="W79" s="7">
        <v>1.1000000000000001E-3</v>
      </c>
      <c r="X79" s="7" t="str">
        <f>IF((AF$8=V79),U79,"")</f>
        <v/>
      </c>
      <c r="Y79" s="7" t="str">
        <f>IFERROR(SMALL(X$80:X$82,U79),"")</f>
        <v/>
      </c>
      <c r="Z79" s="7">
        <f>87</f>
        <v>87</v>
      </c>
      <c r="AA79" s="7" t="b">
        <f>IF(Y$80=U79,X$8*(Z79*W79))</f>
        <v>0</v>
      </c>
      <c r="AB79" s="7" t="b">
        <f>IF(Y$80=U79,AA$8*(Z79*W79))</f>
        <v>0</v>
      </c>
      <c r="AC79" s="7">
        <f>AA79-AB79</f>
        <v>0</v>
      </c>
      <c r="AD79" s="2"/>
      <c r="AE79" s="2"/>
      <c r="AF79" s="2"/>
      <c r="AG79" s="2"/>
      <c r="AH79" s="2"/>
      <c r="AI79" s="11">
        <v>5</v>
      </c>
      <c r="AJ79" s="7" t="s">
        <v>67</v>
      </c>
      <c r="AK79" s="7">
        <v>1.1000000000000001E-3</v>
      </c>
      <c r="AL79" s="7" t="str">
        <f>IF((AT$8=AJ79),AI79,"")</f>
        <v/>
      </c>
      <c r="AM79" s="7" t="str">
        <f>IFERROR(SMALL(AL$80:AL$82,AI79),"")</f>
        <v/>
      </c>
      <c r="AN79" s="7">
        <f>87</f>
        <v>87</v>
      </c>
      <c r="AO79" s="7" t="b">
        <f>IF(AM$80=AI79,AL$8*(AN79*AK79))</f>
        <v>0</v>
      </c>
      <c r="AP79" s="7" t="b">
        <f>IF(AM$80=AI79,AO$8*(AN79*AK79))</f>
        <v>0</v>
      </c>
      <c r="AQ79" s="7">
        <f>AO79-AP79</f>
        <v>0</v>
      </c>
      <c r="AR79" s="2"/>
      <c r="AS79" s="2"/>
      <c r="AT79" s="2"/>
      <c r="AU79" s="2"/>
      <c r="AW79" s="11">
        <v>5</v>
      </c>
      <c r="AX79" s="7" t="s">
        <v>67</v>
      </c>
      <c r="AY79" s="7">
        <v>1.1000000000000001E-3</v>
      </c>
      <c r="AZ79" s="7" t="str">
        <f>IF((BH$8=AX79),AW79,"")</f>
        <v/>
      </c>
      <c r="BA79" s="7" t="str">
        <f>IFERROR(SMALL(AZ$80:AZ$82,AW79),"")</f>
        <v/>
      </c>
      <c r="BB79" s="7">
        <f>87</f>
        <v>87</v>
      </c>
      <c r="BC79" s="7" t="b">
        <f>IF(BA$80=AW79,AZ$8*(BB79*AY79))</f>
        <v>0</v>
      </c>
      <c r="BD79" s="7" t="b">
        <f>IF(BA$80=AW79,BC$8*(BB79*AY79))</f>
        <v>0</v>
      </c>
      <c r="BE79" s="7">
        <f>BC79-BD79</f>
        <v>0</v>
      </c>
      <c r="BF79" s="2"/>
      <c r="BG79" s="2"/>
      <c r="BH79" s="2"/>
      <c r="BK79" s="11">
        <v>5</v>
      </c>
      <c r="BL79" s="7" t="s">
        <v>67</v>
      </c>
      <c r="BM79" s="7">
        <v>1.1000000000000001E-3</v>
      </c>
      <c r="BN79" s="7" t="str">
        <f>IF((BV$8=BL79),BK79,"")</f>
        <v/>
      </c>
      <c r="BO79" s="7" t="str">
        <f>IFERROR(SMALL(BN$80:BN$82,BK79),"")</f>
        <v/>
      </c>
      <c r="BP79" s="7">
        <f>87</f>
        <v>87</v>
      </c>
      <c r="BQ79" s="7" t="b">
        <f>IF(BO$80=BK79,BN$8*(BP79*BM79))</f>
        <v>0</v>
      </c>
      <c r="BR79" s="7" t="b">
        <f>IF(BO$80=BK79,BQ$8*(BP79*BM79))</f>
        <v>0</v>
      </c>
      <c r="BS79" s="7">
        <f>BQ79-BR79</f>
        <v>0</v>
      </c>
      <c r="BT79" s="2"/>
      <c r="BU79" s="2"/>
      <c r="BV79" s="11">
        <v>5</v>
      </c>
      <c r="BW79" s="7" t="s">
        <v>67</v>
      </c>
      <c r="BX79" s="7">
        <v>1.1000000000000001E-3</v>
      </c>
      <c r="BY79" s="7" t="str">
        <f>IF((CG$8=BW79),BV79,"")</f>
        <v/>
      </c>
      <c r="BZ79" s="7" t="str">
        <f>IFERROR(SMALL(BY$80:BY$82,BV79),"")</f>
        <v/>
      </c>
      <c r="CA79" s="7">
        <f>87</f>
        <v>87</v>
      </c>
      <c r="CB79" s="7" t="b">
        <f>IF(BZ$80=BV79,BY$8*(CA79*BX79))</f>
        <v>0</v>
      </c>
      <c r="CC79" s="7" t="b">
        <f>IF(BZ$80=BV79,CB$8*(CA79*BX79))</f>
        <v>0</v>
      </c>
      <c r="CD79" s="7">
        <f>CB79-CC79</f>
        <v>0</v>
      </c>
      <c r="CE79" s="2"/>
      <c r="CF79" s="2"/>
      <c r="CG79" s="2"/>
    </row>
    <row r="80" spans="6:85">
      <c r="F80" s="11">
        <v>6</v>
      </c>
      <c r="G80" s="7" t="s">
        <v>68</v>
      </c>
      <c r="H80" s="7">
        <v>1E-3</v>
      </c>
      <c r="I80" s="7" t="str">
        <f>IF((Q$8=G80),F80,"")</f>
        <v/>
      </c>
      <c r="J80" s="7" t="str">
        <f>IFERROR(SMALL(I$80:I$82,F80),"")</f>
        <v/>
      </c>
      <c r="K80" s="7">
        <f>63</f>
        <v>63</v>
      </c>
      <c r="L80" s="7" t="b">
        <f>IF(J$80=F80,I$8*(K80*H80))</f>
        <v>0</v>
      </c>
      <c r="M80" s="7" t="b">
        <f>IF(J$80=F80,L$8*(K80*H80))</f>
        <v>0</v>
      </c>
      <c r="N80" s="7">
        <f>L80-M80</f>
        <v>0</v>
      </c>
      <c r="O80" s="2"/>
      <c r="P80" s="2"/>
      <c r="Q80" s="2"/>
      <c r="R80" s="2"/>
      <c r="S80" s="2"/>
      <c r="U80" s="11">
        <v>6</v>
      </c>
      <c r="V80" s="7" t="s">
        <v>68</v>
      </c>
      <c r="W80" s="7">
        <v>1E-3</v>
      </c>
      <c r="X80" s="7" t="str">
        <f>IF((AF$8=V80),U80,"")</f>
        <v/>
      </c>
      <c r="Y80" s="7" t="str">
        <f>IFERROR(SMALL(X$80:X$82,U80),"")</f>
        <v/>
      </c>
      <c r="Z80" s="7">
        <f>63</f>
        <v>63</v>
      </c>
      <c r="AA80" s="7" t="b">
        <f>IF(Y$80=U80,X$8*(Z80*W80))</f>
        <v>0</v>
      </c>
      <c r="AB80" s="7" t="b">
        <f>IF(Y$80=U80,AA$8*(Z80*W80))</f>
        <v>0</v>
      </c>
      <c r="AC80" s="7">
        <f>AA80-AB80</f>
        <v>0</v>
      </c>
      <c r="AD80" s="2"/>
      <c r="AE80" s="2"/>
      <c r="AF80" s="2"/>
      <c r="AG80" s="2"/>
      <c r="AH80" s="2"/>
      <c r="AI80" s="11">
        <v>6</v>
      </c>
      <c r="AJ80" s="7" t="s">
        <v>68</v>
      </c>
      <c r="AK80" s="7">
        <v>1E-3</v>
      </c>
      <c r="AL80" s="7" t="str">
        <f>IF((AT$8=AJ80),AI80,"")</f>
        <v/>
      </c>
      <c r="AM80" s="7" t="str">
        <f>IFERROR(SMALL(AL$80:AL$82,AI80),"")</f>
        <v/>
      </c>
      <c r="AN80" s="7">
        <f>63</f>
        <v>63</v>
      </c>
      <c r="AO80" s="7" t="b">
        <f>IF(AM$80=AI80,AL$8*(AN80*AK80))</f>
        <v>0</v>
      </c>
      <c r="AP80" s="7" t="b">
        <f>IF(AM$80=AI80,AO$8*(AN80*AK80))</f>
        <v>0</v>
      </c>
      <c r="AQ80" s="7">
        <f>AO80-AP80</f>
        <v>0</v>
      </c>
      <c r="AR80" s="2"/>
      <c r="AS80" s="2"/>
      <c r="AT80" s="2"/>
      <c r="AU80" s="2"/>
      <c r="AW80" s="11">
        <v>6</v>
      </c>
      <c r="AX80" s="7" t="s">
        <v>68</v>
      </c>
      <c r="AY80" s="7">
        <v>1E-3</v>
      </c>
      <c r="AZ80" s="7" t="str">
        <f>IF((BH$8=AX80),AW80,"")</f>
        <v/>
      </c>
      <c r="BA80" s="7" t="str">
        <f>IFERROR(SMALL(AZ$80:AZ$82,AW80),"")</f>
        <v/>
      </c>
      <c r="BB80" s="7">
        <f>63</f>
        <v>63</v>
      </c>
      <c r="BC80" s="7" t="b">
        <f>IF(BA$80=AW80,AZ$8*(BB80*AY80))</f>
        <v>0</v>
      </c>
      <c r="BD80" s="7" t="b">
        <f>IF(BA$80=AW80,BC$8*(BB80*AY80))</f>
        <v>0</v>
      </c>
      <c r="BE80" s="7">
        <f>BC80-BD80</f>
        <v>0</v>
      </c>
      <c r="BF80" s="2"/>
      <c r="BG80" s="2"/>
      <c r="BH80" s="2"/>
      <c r="BK80" s="11">
        <v>6</v>
      </c>
      <c r="BL80" s="7" t="s">
        <v>68</v>
      </c>
      <c r="BM80" s="7">
        <v>1E-3</v>
      </c>
      <c r="BN80" s="7" t="str">
        <f>IF((BV$8=BL80),BK80,"")</f>
        <v/>
      </c>
      <c r="BO80" s="7" t="str">
        <f>IFERROR(SMALL(BN$80:BN$82,BK80),"")</f>
        <v/>
      </c>
      <c r="BP80" s="7">
        <f>63</f>
        <v>63</v>
      </c>
      <c r="BQ80" s="7" t="b">
        <f>IF(BO$80=BK80,BN$8*(BP80*BM80))</f>
        <v>0</v>
      </c>
      <c r="BR80" s="7" t="b">
        <f>IF(BO$80=BK80,BQ$8*(BP80*BM80))</f>
        <v>0</v>
      </c>
      <c r="BS80" s="7">
        <f>BQ80-BR80</f>
        <v>0</v>
      </c>
      <c r="BT80" s="2"/>
      <c r="BU80" s="2"/>
      <c r="BV80" s="11">
        <v>6</v>
      </c>
      <c r="BW80" s="7" t="s">
        <v>68</v>
      </c>
      <c r="BX80" s="7">
        <v>1E-3</v>
      </c>
      <c r="BY80" s="7" t="str">
        <f>IF((CG$8=BW80),BV80,"")</f>
        <v/>
      </c>
      <c r="BZ80" s="7" t="str">
        <f>IFERROR(SMALL(BY$80:BY$82,BV80),"")</f>
        <v/>
      </c>
      <c r="CA80" s="7">
        <f>63</f>
        <v>63</v>
      </c>
      <c r="CB80" s="7" t="b">
        <f>IF(BZ$80=BV80,BY$8*(CA80*BX80))</f>
        <v>0</v>
      </c>
      <c r="CC80" s="7" t="b">
        <f>IF(BZ$80=BV80,CB$8*(CA80*BX80))</f>
        <v>0</v>
      </c>
      <c r="CD80" s="7">
        <f>CB80-CC80</f>
        <v>0</v>
      </c>
      <c r="CE80" s="2"/>
      <c r="CF80" s="2"/>
      <c r="CG80" s="2"/>
    </row>
    <row r="81" spans="6:85">
      <c r="F81" s="2"/>
      <c r="G81" s="2"/>
      <c r="H81" s="2"/>
      <c r="I81" s="2"/>
      <c r="J81" s="2"/>
      <c r="K81" s="2"/>
      <c r="L81" s="2"/>
      <c r="M81" s="2"/>
      <c r="N81" s="2"/>
      <c r="O81" s="2"/>
      <c r="P81" s="2"/>
      <c r="Q81" s="2"/>
      <c r="R81" s="2"/>
      <c r="S81" s="2"/>
      <c r="U81" s="2"/>
      <c r="V81" s="2"/>
      <c r="W81" s="2"/>
      <c r="X81" s="2"/>
      <c r="Y81" s="2"/>
      <c r="Z81" s="2"/>
      <c r="AA81" s="2"/>
      <c r="AB81" s="2"/>
      <c r="AC81" s="2"/>
      <c r="AD81" s="2"/>
      <c r="AE81" s="2"/>
      <c r="AF81" s="2"/>
      <c r="AG81" s="2"/>
      <c r="AH81" s="2"/>
      <c r="AI81" s="2"/>
      <c r="AJ81" s="2"/>
      <c r="AK81" s="2"/>
      <c r="AL81" s="2"/>
      <c r="AM81" s="2"/>
      <c r="AN81" s="2"/>
      <c r="AO81" s="2"/>
      <c r="AP81" s="2"/>
      <c r="AQ81" s="2"/>
      <c r="AR81" s="2"/>
      <c r="AS81" s="2"/>
      <c r="AT81" s="2"/>
      <c r="AU81" s="2"/>
      <c r="AW81" s="2"/>
      <c r="AX81" s="2"/>
      <c r="AY81" s="2"/>
      <c r="AZ81" s="2"/>
      <c r="BA81" s="2"/>
      <c r="BB81" s="2"/>
      <c r="BC81" s="2"/>
      <c r="BD81" s="2"/>
      <c r="BE81" s="2"/>
      <c r="BF81" s="2"/>
      <c r="BG81" s="2"/>
      <c r="BH81" s="2"/>
      <c r="BK81" s="2"/>
      <c r="BL81" s="2"/>
      <c r="BM81" s="2"/>
      <c r="BN81" s="2"/>
      <c r="BO81" s="2"/>
      <c r="BP81" s="2"/>
      <c r="BQ81" s="2"/>
      <c r="BR81" s="2"/>
      <c r="BS81" s="2"/>
      <c r="BT81" s="2"/>
      <c r="BU81" s="2"/>
      <c r="BV81" s="2"/>
      <c r="BW81" s="2"/>
      <c r="BX81" s="2"/>
      <c r="BY81" s="2"/>
      <c r="BZ81" s="2"/>
      <c r="CA81" s="2"/>
      <c r="CB81" s="2"/>
      <c r="CC81" s="2"/>
      <c r="CD81" s="2"/>
      <c r="CE81" s="2"/>
      <c r="CF81" s="2"/>
      <c r="CG81" s="2"/>
    </row>
    <row r="82" spans="6:85">
      <c r="F82" s="2"/>
      <c r="G82" s="2"/>
      <c r="H82" s="2"/>
      <c r="I82" s="2"/>
      <c r="J82" s="2"/>
      <c r="K82" s="2"/>
      <c r="L82" s="2"/>
      <c r="M82" s="2"/>
      <c r="N82" s="2"/>
      <c r="O82" s="2"/>
      <c r="P82" s="2"/>
      <c r="Q82" s="2"/>
      <c r="R82" s="2"/>
      <c r="S82" s="2"/>
      <c r="U82" s="2"/>
      <c r="V82" s="2"/>
      <c r="W82" s="2"/>
      <c r="X82" s="2"/>
      <c r="Y82" s="2"/>
      <c r="Z82" s="2"/>
      <c r="AA82" s="2"/>
      <c r="AB82" s="2"/>
      <c r="AC82" s="2"/>
      <c r="AD82" s="2"/>
      <c r="AE82" s="2"/>
      <c r="AF82" s="2"/>
      <c r="AG82" s="2"/>
      <c r="AH82" s="2"/>
      <c r="AI82" s="2"/>
      <c r="AJ82" s="2"/>
      <c r="AK82" s="2"/>
      <c r="AL82" s="2"/>
      <c r="AM82" s="2"/>
      <c r="AN82" s="2"/>
      <c r="AO82" s="2"/>
      <c r="AP82" s="2"/>
      <c r="AQ82" s="2"/>
      <c r="AR82" s="2"/>
      <c r="AS82" s="2"/>
      <c r="AT82" s="2"/>
      <c r="AU82" s="2"/>
      <c r="AW82" s="2"/>
      <c r="AX82" s="2"/>
      <c r="AY82" s="2"/>
      <c r="AZ82" s="2"/>
      <c r="BA82" s="2"/>
      <c r="BB82" s="2"/>
      <c r="BC82" s="2"/>
      <c r="BD82" s="2"/>
      <c r="BE82" s="2"/>
      <c r="BF82" s="2"/>
      <c r="BG82" s="2"/>
      <c r="BH82" s="2"/>
      <c r="BK82" s="2"/>
      <c r="BL82" s="2"/>
      <c r="BM82" s="2"/>
      <c r="BN82" s="2"/>
      <c r="BO82" s="2"/>
      <c r="BP82" s="2"/>
      <c r="BQ82" s="2"/>
      <c r="BR82" s="2"/>
      <c r="BS82" s="2"/>
      <c r="BT82" s="2"/>
      <c r="BU82" s="2"/>
      <c r="BV82" s="2"/>
      <c r="BW82" s="2"/>
      <c r="BX82" s="2"/>
      <c r="BY82" s="2"/>
      <c r="BZ82" s="2"/>
      <c r="CA82" s="2"/>
      <c r="CB82" s="2"/>
      <c r="CC82" s="2"/>
      <c r="CD82" s="2"/>
      <c r="CE82" s="2"/>
      <c r="CF82" s="2"/>
      <c r="CG82" s="2"/>
    </row>
    <row r="83" spans="6:85">
      <c r="F83" s="2"/>
      <c r="G83" s="2"/>
      <c r="H83" s="2"/>
      <c r="I83" s="2"/>
      <c r="J83" s="2"/>
      <c r="K83" s="2"/>
      <c r="L83" s="2"/>
      <c r="M83" s="2"/>
      <c r="N83" s="2"/>
      <c r="O83" s="2"/>
      <c r="P83" s="2"/>
      <c r="Q83" s="2"/>
      <c r="R83" s="2"/>
      <c r="S83" s="2"/>
      <c r="U83" s="2"/>
      <c r="V83" s="2"/>
      <c r="W83" s="2"/>
      <c r="X83" s="2"/>
      <c r="Y83" s="2"/>
      <c r="Z83" s="2"/>
      <c r="AA83" s="2"/>
      <c r="AB83" s="2"/>
      <c r="AC83" s="2"/>
      <c r="AD83" s="2"/>
      <c r="AE83" s="2"/>
      <c r="AF83" s="2"/>
      <c r="AG83" s="2"/>
      <c r="AH83" s="2"/>
      <c r="AI83" s="2"/>
      <c r="AJ83" s="2"/>
      <c r="AK83" s="2"/>
      <c r="AL83" s="2"/>
      <c r="AM83" s="2"/>
      <c r="AN83" s="2"/>
      <c r="AO83" s="2"/>
      <c r="AP83" s="2"/>
      <c r="AQ83" s="2"/>
      <c r="AR83" s="2"/>
      <c r="AS83" s="2"/>
      <c r="AT83" s="2"/>
      <c r="AU83" s="2"/>
      <c r="AW83" s="2"/>
      <c r="AX83" s="2"/>
      <c r="AY83" s="2"/>
      <c r="AZ83" s="2"/>
      <c r="BA83" s="2"/>
      <c r="BB83" s="2"/>
      <c r="BC83" s="2"/>
      <c r="BD83" s="2"/>
      <c r="BE83" s="2"/>
      <c r="BF83" s="2"/>
      <c r="BG83" s="2"/>
      <c r="BH83" s="2"/>
      <c r="BK83" s="2"/>
      <c r="BL83" s="2"/>
      <c r="BM83" s="2"/>
      <c r="BN83" s="2"/>
      <c r="BO83" s="2"/>
      <c r="BP83" s="2"/>
      <c r="BQ83" s="2"/>
      <c r="BR83" s="2"/>
      <c r="BS83" s="2"/>
      <c r="BT83" s="2"/>
      <c r="BU83" s="2"/>
      <c r="BV83" s="2"/>
      <c r="BW83" s="2"/>
      <c r="BX83" s="2"/>
      <c r="BY83" s="2"/>
      <c r="BZ83" s="2"/>
      <c r="CA83" s="2"/>
      <c r="CB83" s="2"/>
      <c r="CC83" s="2"/>
      <c r="CD83" s="2"/>
      <c r="CE83" s="2"/>
      <c r="CF83" s="2"/>
      <c r="CG83" s="2"/>
    </row>
    <row r="84" spans="6:85">
      <c r="F84" s="2"/>
      <c r="G84" s="2"/>
      <c r="H84" s="2"/>
      <c r="I84" s="2"/>
      <c r="J84" s="2"/>
      <c r="K84" s="2"/>
      <c r="L84" s="2"/>
      <c r="M84" s="2"/>
      <c r="N84" s="2"/>
      <c r="O84" s="2"/>
      <c r="P84" s="2"/>
      <c r="Q84" s="2"/>
      <c r="R84" s="2"/>
      <c r="S84" s="2"/>
      <c r="U84" s="2"/>
      <c r="V84" s="2"/>
      <c r="W84" s="2"/>
      <c r="X84" s="2"/>
      <c r="Y84" s="2"/>
      <c r="Z84" s="2"/>
      <c r="AA84" s="2"/>
      <c r="AB84" s="2"/>
      <c r="AC84" s="2"/>
      <c r="AD84" s="2"/>
      <c r="AE84" s="2"/>
      <c r="AF84" s="2"/>
      <c r="AG84" s="2"/>
      <c r="AH84" s="2"/>
      <c r="AI84" s="2"/>
      <c r="AJ84" s="2"/>
      <c r="AK84" s="2"/>
      <c r="AL84" s="2"/>
      <c r="AM84" s="2"/>
      <c r="AN84" s="2"/>
      <c r="AO84" s="2"/>
      <c r="AP84" s="2"/>
      <c r="AQ84" s="2"/>
      <c r="AR84" s="2"/>
      <c r="AS84" s="2"/>
      <c r="AT84" s="2"/>
      <c r="AU84" s="2"/>
      <c r="AW84" s="2"/>
      <c r="AX84" s="2"/>
      <c r="AY84" s="2"/>
      <c r="AZ84" s="2"/>
      <c r="BA84" s="2"/>
      <c r="BB84" s="2"/>
      <c r="BC84" s="2"/>
      <c r="BD84" s="2"/>
      <c r="BE84" s="2"/>
      <c r="BF84" s="2"/>
      <c r="BG84" s="2"/>
      <c r="BH84" s="2"/>
      <c r="BK84" s="2"/>
      <c r="BL84" s="2"/>
      <c r="BM84" s="2"/>
      <c r="BN84" s="2"/>
      <c r="BO84" s="2"/>
      <c r="BP84" s="2"/>
      <c r="BQ84" s="2"/>
      <c r="BR84" s="2"/>
      <c r="BS84" s="2"/>
      <c r="BT84" s="2"/>
      <c r="BU84" s="2"/>
      <c r="BV84" s="2"/>
      <c r="BW84" s="2"/>
      <c r="BX84" s="2"/>
      <c r="BY84" s="2"/>
      <c r="BZ84" s="2"/>
      <c r="CA84" s="2"/>
      <c r="CB84" s="2"/>
      <c r="CC84" s="2"/>
      <c r="CD84" s="2"/>
      <c r="CE84" s="2"/>
      <c r="CF84" s="2"/>
      <c r="CG84" s="2"/>
    </row>
    <row r="85" spans="6:85">
      <c r="F85" s="2"/>
      <c r="G85" s="16" t="s">
        <v>41</v>
      </c>
      <c r="H85" s="16"/>
      <c r="I85" s="16"/>
      <c r="J85" s="2"/>
      <c r="K85" s="2"/>
      <c r="L85" s="2"/>
      <c r="M85" s="2"/>
      <c r="N85" s="2"/>
      <c r="O85" s="2"/>
      <c r="P85" s="2"/>
      <c r="Q85" s="2"/>
      <c r="R85" s="2"/>
      <c r="S85" s="2"/>
      <c r="U85" s="2"/>
      <c r="V85" s="2" t="s">
        <v>41</v>
      </c>
      <c r="W85" s="2"/>
      <c r="X85" s="2"/>
      <c r="Y85" s="2"/>
      <c r="Z85" s="2"/>
      <c r="AA85" s="2"/>
      <c r="AB85" s="2"/>
      <c r="AC85" s="2"/>
      <c r="AD85" s="2"/>
      <c r="AE85" s="2"/>
      <c r="AF85" s="2"/>
      <c r="AG85" s="2"/>
      <c r="AH85" s="2"/>
      <c r="AI85" s="2"/>
      <c r="AJ85" s="2" t="s">
        <v>41</v>
      </c>
      <c r="AK85" s="2"/>
      <c r="AL85" s="2"/>
      <c r="AM85" s="2"/>
      <c r="AN85" s="2"/>
      <c r="AO85" s="2"/>
      <c r="AP85" s="2"/>
      <c r="AQ85" s="2"/>
      <c r="AR85" s="2"/>
      <c r="AS85" s="2"/>
      <c r="AT85" s="2"/>
      <c r="AU85" s="2"/>
      <c r="AW85" s="2"/>
      <c r="AX85" s="2" t="s">
        <v>41</v>
      </c>
      <c r="AY85" s="2"/>
      <c r="AZ85" s="2"/>
      <c r="BA85" s="2"/>
      <c r="BB85" s="2"/>
      <c r="BC85" s="2"/>
      <c r="BD85" s="2"/>
      <c r="BE85" s="2"/>
      <c r="BF85" s="2"/>
      <c r="BG85" s="2"/>
      <c r="BH85" s="2"/>
      <c r="BK85" s="2"/>
      <c r="BL85" s="2" t="s">
        <v>41</v>
      </c>
      <c r="BM85" s="2"/>
      <c r="BN85" s="2"/>
      <c r="BO85" s="2"/>
      <c r="BP85" s="2"/>
      <c r="BQ85" s="2"/>
      <c r="BR85" s="2"/>
      <c r="BS85" s="2"/>
      <c r="BT85" s="2"/>
      <c r="BU85" s="2"/>
      <c r="BV85" s="2"/>
      <c r="BW85" s="2" t="s">
        <v>41</v>
      </c>
      <c r="BX85" s="2"/>
      <c r="BY85" s="2"/>
      <c r="BZ85" s="2"/>
      <c r="CA85" s="2"/>
      <c r="CB85" s="2"/>
      <c r="CC85" s="2"/>
      <c r="CD85" s="2"/>
      <c r="CE85" s="2"/>
      <c r="CF85" s="2"/>
      <c r="CG85" s="2"/>
    </row>
    <row r="86" spans="6:85">
      <c r="F86" s="2"/>
      <c r="G86" s="2"/>
      <c r="H86" s="57" t="s">
        <v>40</v>
      </c>
      <c r="I86" s="57" t="s">
        <v>40</v>
      </c>
      <c r="J86" s="2" t="s">
        <v>72</v>
      </c>
      <c r="K86" s="2"/>
      <c r="L86" s="2"/>
      <c r="M86" s="2"/>
      <c r="N86" s="2"/>
      <c r="O86" s="2"/>
      <c r="P86" s="2"/>
      <c r="Q86" s="2"/>
      <c r="R86" s="2"/>
      <c r="S86" s="2"/>
      <c r="U86" s="2"/>
      <c r="V86" s="2"/>
      <c r="W86" s="2"/>
      <c r="X86" s="2"/>
      <c r="Y86" s="2"/>
      <c r="Z86" s="2"/>
      <c r="AA86" s="2"/>
      <c r="AB86" s="2"/>
      <c r="AC86" s="2"/>
      <c r="AD86" s="2"/>
      <c r="AE86" s="2"/>
      <c r="AF86" s="2"/>
      <c r="AG86" s="2"/>
      <c r="AH86" s="2"/>
      <c r="AI86" s="2"/>
      <c r="AJ86" s="2"/>
      <c r="AK86" s="2"/>
      <c r="AL86" s="2"/>
      <c r="AM86" s="2"/>
      <c r="AN86" s="2"/>
      <c r="AO86" s="2"/>
      <c r="AP86" s="2"/>
      <c r="AQ86" s="2"/>
      <c r="AR86" s="2"/>
      <c r="AS86" s="2"/>
      <c r="AT86" s="2"/>
      <c r="AU86" s="2"/>
      <c r="AW86" s="2"/>
      <c r="AX86" s="2"/>
      <c r="AY86" s="2"/>
      <c r="AZ86" s="2"/>
      <c r="BA86" s="2"/>
      <c r="BB86" s="2"/>
      <c r="BC86" s="2"/>
      <c r="BD86" s="2"/>
      <c r="BE86" s="2"/>
      <c r="BF86" s="2"/>
      <c r="BG86" s="2"/>
      <c r="BH86" s="2"/>
      <c r="BK86" s="2"/>
      <c r="BL86" s="2"/>
      <c r="BM86" s="2"/>
      <c r="BN86" s="2"/>
      <c r="BO86" s="2"/>
      <c r="BP86" s="2"/>
      <c r="BQ86" s="2"/>
      <c r="BR86" s="2"/>
      <c r="BS86" s="2"/>
      <c r="BT86" s="2"/>
      <c r="BU86" s="2"/>
      <c r="BV86" s="2"/>
      <c r="BW86" s="2"/>
      <c r="BX86" s="2"/>
      <c r="BY86" s="2"/>
      <c r="BZ86" s="2"/>
      <c r="CA86" s="2"/>
      <c r="CB86" s="2"/>
      <c r="CC86" s="2"/>
      <c r="CD86" s="2"/>
      <c r="CE86" s="2"/>
      <c r="CF86" s="2"/>
      <c r="CG86" s="2"/>
    </row>
    <row r="87" spans="6:85">
      <c r="F87" s="2">
        <v>1</v>
      </c>
      <c r="G87" s="2" t="s">
        <v>22</v>
      </c>
      <c r="H87" s="57" t="str">
        <f t="shared" ref="H87:H96" si="20">IF((J$9=G87),F87,"")</f>
        <v/>
      </c>
      <c r="I87" s="57">
        <f>IFERROR(SMALL(H$87:H$96,F87),"")</f>
        <v>2</v>
      </c>
      <c r="J87" s="2"/>
      <c r="K87" s="2"/>
      <c r="L87" s="2"/>
      <c r="M87" s="2"/>
      <c r="N87" s="2"/>
      <c r="O87" s="2"/>
      <c r="P87" s="2"/>
      <c r="Q87" s="2"/>
      <c r="R87" s="2"/>
      <c r="S87" s="2"/>
      <c r="U87" s="2"/>
      <c r="V87" s="2"/>
      <c r="W87" s="57" t="s">
        <v>40</v>
      </c>
      <c r="X87" s="57" t="s">
        <v>40</v>
      </c>
      <c r="Y87" s="2" t="s">
        <v>72</v>
      </c>
      <c r="Z87" s="2"/>
      <c r="AA87" s="2"/>
      <c r="AB87" s="2"/>
      <c r="AC87" s="2"/>
      <c r="AD87" s="2"/>
      <c r="AE87" s="2"/>
      <c r="AF87" s="2"/>
      <c r="AG87" s="2"/>
      <c r="AH87" s="2"/>
      <c r="AI87" s="2"/>
      <c r="AJ87" s="2"/>
      <c r="AK87" s="57" t="s">
        <v>40</v>
      </c>
      <c r="AL87" s="57" t="s">
        <v>40</v>
      </c>
      <c r="AM87" s="2" t="s">
        <v>72</v>
      </c>
      <c r="AN87" s="2"/>
      <c r="AO87" s="2"/>
      <c r="AP87" s="2"/>
      <c r="AQ87" s="2"/>
      <c r="AR87" s="2"/>
      <c r="AS87" s="2"/>
      <c r="AT87" s="2"/>
      <c r="AU87" s="2"/>
      <c r="AW87" s="2"/>
      <c r="AX87" s="2"/>
      <c r="AY87" s="57" t="s">
        <v>40</v>
      </c>
      <c r="AZ87" s="57" t="s">
        <v>40</v>
      </c>
      <c r="BA87" s="2" t="s">
        <v>72</v>
      </c>
      <c r="BB87" s="2"/>
      <c r="BC87" s="2"/>
      <c r="BD87" s="2"/>
      <c r="BE87" s="2"/>
      <c r="BF87" s="2"/>
      <c r="BG87" s="2"/>
      <c r="BH87" s="2"/>
      <c r="BK87" s="2"/>
      <c r="BL87" s="2"/>
      <c r="BM87" s="57" t="s">
        <v>40</v>
      </c>
      <c r="BN87" s="57" t="s">
        <v>40</v>
      </c>
      <c r="BO87" s="2" t="s">
        <v>72</v>
      </c>
      <c r="BP87" s="2"/>
      <c r="BQ87" s="2"/>
      <c r="BR87" s="2"/>
      <c r="BS87" s="2"/>
      <c r="BT87" s="2"/>
      <c r="BU87" s="2"/>
      <c r="BV87" s="2"/>
      <c r="BW87" s="2"/>
      <c r="BX87" s="57" t="s">
        <v>40</v>
      </c>
      <c r="BY87" s="57" t="s">
        <v>40</v>
      </c>
      <c r="BZ87" s="2" t="s">
        <v>72</v>
      </c>
      <c r="CA87" s="2"/>
      <c r="CB87" s="2"/>
      <c r="CC87" s="2"/>
      <c r="CD87" s="2"/>
      <c r="CE87" s="2"/>
      <c r="CF87" s="2"/>
      <c r="CG87" s="2"/>
    </row>
    <row r="88" spans="6:85">
      <c r="F88" s="2">
        <v>2</v>
      </c>
      <c r="G88" s="2" t="s">
        <v>21</v>
      </c>
      <c r="H88" s="57">
        <f t="shared" si="20"/>
        <v>2</v>
      </c>
      <c r="I88" s="57"/>
      <c r="J88" s="2"/>
      <c r="K88" s="2"/>
      <c r="L88" s="2"/>
      <c r="M88" s="2"/>
      <c r="N88" s="2"/>
      <c r="O88" s="2"/>
      <c r="P88" s="2"/>
      <c r="Q88" s="2"/>
      <c r="R88" s="2"/>
      <c r="S88" s="2"/>
      <c r="U88" s="2">
        <v>1</v>
      </c>
      <c r="V88" s="2" t="s">
        <v>22</v>
      </c>
      <c r="W88" s="57">
        <f>IF((K$9=V88),U88,"")</f>
        <v>1</v>
      </c>
      <c r="X88" s="57">
        <f>IFERROR(SMALL(W$88:W$97,U88),"")</f>
        <v>1</v>
      </c>
      <c r="Y88" s="2"/>
      <c r="Z88" s="2"/>
      <c r="AA88" s="2"/>
      <c r="AB88" s="2"/>
      <c r="AC88" s="2"/>
      <c r="AD88" s="2"/>
      <c r="AE88" s="2"/>
      <c r="AF88" s="2"/>
      <c r="AG88" s="2"/>
      <c r="AH88" s="2"/>
      <c r="AI88" s="2">
        <v>1</v>
      </c>
      <c r="AJ88" s="2" t="s">
        <v>22</v>
      </c>
      <c r="AK88" s="57" t="str">
        <f>IF((L$9=AJ88),AI88,"")</f>
        <v/>
      </c>
      <c r="AL88" s="57" t="str">
        <f>IFERROR(SMALL(AK$88:AK$96,AI88),"")</f>
        <v/>
      </c>
      <c r="AM88" s="2"/>
      <c r="AN88" s="2"/>
      <c r="AO88" s="2"/>
      <c r="AP88" s="2"/>
      <c r="AQ88" s="2"/>
      <c r="AR88" s="2"/>
      <c r="AS88" s="2"/>
      <c r="AT88" s="2"/>
      <c r="AU88" s="2"/>
      <c r="AW88" s="2">
        <v>1</v>
      </c>
      <c r="AX88" s="2" t="s">
        <v>22</v>
      </c>
      <c r="AY88" s="57" t="str">
        <f>IF((M$9=AX88),AW88,"")</f>
        <v/>
      </c>
      <c r="AZ88" s="57" t="str">
        <f>IFERROR(SMALL(AY$88:AY$96,AW88),"")</f>
        <v/>
      </c>
      <c r="BA88" s="2"/>
      <c r="BB88" s="2"/>
      <c r="BC88" s="2"/>
      <c r="BD88" s="2"/>
      <c r="BE88" s="2"/>
      <c r="BF88" s="2"/>
      <c r="BG88" s="2"/>
      <c r="BH88" s="2"/>
      <c r="BK88" s="2">
        <v>1</v>
      </c>
      <c r="BL88" s="2" t="s">
        <v>22</v>
      </c>
      <c r="BM88" s="57" t="str">
        <f>IF((N$9=BL88),BK88,"")</f>
        <v/>
      </c>
      <c r="BN88" s="57" t="str">
        <f>IFERROR(SMALL(BM$88:BM$96,BK88),"")</f>
        <v/>
      </c>
      <c r="BO88" s="2"/>
      <c r="BP88" s="2"/>
      <c r="BQ88" s="2"/>
      <c r="BR88" s="2"/>
      <c r="BS88" s="2"/>
      <c r="BT88" s="2"/>
      <c r="BU88" s="2"/>
      <c r="BV88" s="2">
        <v>1</v>
      </c>
      <c r="BW88" s="2" t="s">
        <v>22</v>
      </c>
      <c r="BX88" s="57" t="str">
        <f>IF((O$9=BW88),BV88,"")</f>
        <v/>
      </c>
      <c r="BY88" s="57" t="str">
        <f>IFERROR(SMALL(BX$88:BX$96,BV88),"")</f>
        <v/>
      </c>
      <c r="BZ88" s="2"/>
      <c r="CA88" s="2"/>
      <c r="CB88" s="2"/>
      <c r="CC88" s="2"/>
      <c r="CD88" s="2"/>
      <c r="CE88" s="2"/>
      <c r="CF88" s="2"/>
      <c r="CG88" s="2"/>
    </row>
    <row r="89" spans="6:85">
      <c r="F89" s="2">
        <v>3</v>
      </c>
      <c r="G89" s="2" t="s">
        <v>47</v>
      </c>
      <c r="H89" s="57" t="str">
        <f t="shared" si="20"/>
        <v/>
      </c>
      <c r="I89" s="57"/>
      <c r="J89" s="2"/>
      <c r="K89" s="2"/>
      <c r="L89" s="2"/>
      <c r="M89" s="2"/>
      <c r="N89" s="2"/>
      <c r="O89" s="2"/>
      <c r="P89" s="2"/>
      <c r="Q89" s="2"/>
      <c r="R89" s="2"/>
      <c r="S89" s="2"/>
      <c r="U89" s="2">
        <v>2</v>
      </c>
      <c r="V89" s="2" t="s">
        <v>21</v>
      </c>
      <c r="W89" s="57" t="str">
        <f t="shared" ref="W89:W97" si="21">IF((K$9=V89),U89,"")</f>
        <v/>
      </c>
      <c r="X89" s="57"/>
      <c r="Y89" s="2"/>
      <c r="Z89" s="2"/>
      <c r="AA89" s="2"/>
      <c r="AB89" s="2"/>
      <c r="AC89" s="2"/>
      <c r="AD89" s="2"/>
      <c r="AE89" s="2"/>
      <c r="AF89" s="2"/>
      <c r="AG89" s="2"/>
      <c r="AH89" s="2"/>
      <c r="AI89" s="2">
        <v>2</v>
      </c>
      <c r="AJ89" s="2" t="s">
        <v>21</v>
      </c>
      <c r="AK89" s="57" t="str">
        <f t="shared" ref="AK89:AK96" si="22">IF((L$9=AJ89),AI89,"")</f>
        <v/>
      </c>
      <c r="AL89" s="57"/>
      <c r="AM89" s="2"/>
      <c r="AN89" s="2"/>
      <c r="AO89" s="2"/>
      <c r="AP89" s="2"/>
      <c r="AQ89" s="2"/>
      <c r="AR89" s="2"/>
      <c r="AS89" s="2"/>
      <c r="AT89" s="2"/>
      <c r="AU89" s="2"/>
      <c r="AW89" s="2">
        <v>2</v>
      </c>
      <c r="AX89" s="2" t="s">
        <v>21</v>
      </c>
      <c r="AY89" s="57" t="str">
        <f t="shared" ref="AY89:AY96" si="23">IF((M$9=AX89),AW89,"")</f>
        <v/>
      </c>
      <c r="AZ89" s="57"/>
      <c r="BA89" s="2"/>
      <c r="BB89" s="2"/>
      <c r="BC89" s="2"/>
      <c r="BD89" s="2"/>
      <c r="BE89" s="2"/>
      <c r="BF89" s="2"/>
      <c r="BG89" s="2"/>
      <c r="BH89" s="2"/>
      <c r="BK89" s="2">
        <v>2</v>
      </c>
      <c r="BL89" s="2" t="s">
        <v>21</v>
      </c>
      <c r="BM89" s="57" t="str">
        <f t="shared" ref="BM89:BM96" si="24">IF((N$9=BL89),BK89,"")</f>
        <v/>
      </c>
      <c r="BN89" s="57"/>
      <c r="BO89" s="2"/>
      <c r="BP89" s="2"/>
      <c r="BQ89" s="2"/>
      <c r="BR89" s="2"/>
      <c r="BS89" s="2"/>
      <c r="BT89" s="2"/>
      <c r="BU89" s="2"/>
      <c r="BV89" s="2">
        <v>2</v>
      </c>
      <c r="BW89" s="2" t="s">
        <v>21</v>
      </c>
      <c r="BX89" s="57" t="str">
        <f t="shared" ref="BX89:BX96" si="25">IF((O$9=BW89),BV89,"")</f>
        <v/>
      </c>
      <c r="BY89" s="57"/>
      <c r="BZ89" s="2"/>
      <c r="CA89" s="2"/>
      <c r="CB89" s="2"/>
      <c r="CC89" s="2"/>
      <c r="CD89" s="2"/>
      <c r="CE89" s="2"/>
      <c r="CF89" s="2"/>
      <c r="CG89" s="2"/>
    </row>
    <row r="90" spans="6:85">
      <c r="F90" s="2">
        <v>4</v>
      </c>
      <c r="G90" s="2" t="s">
        <v>48</v>
      </c>
      <c r="H90" s="57" t="str">
        <f t="shared" si="20"/>
        <v/>
      </c>
      <c r="I90" s="57"/>
      <c r="J90" s="2"/>
      <c r="K90" s="2"/>
      <c r="L90" s="2"/>
      <c r="M90" s="2"/>
      <c r="N90" s="2"/>
      <c r="O90" s="2"/>
      <c r="P90" s="2"/>
      <c r="Q90" s="2"/>
      <c r="R90" s="2"/>
      <c r="S90" s="2"/>
      <c r="U90" s="2">
        <v>3</v>
      </c>
      <c r="V90" s="2" t="s">
        <v>47</v>
      </c>
      <c r="W90" s="57" t="str">
        <f t="shared" si="21"/>
        <v/>
      </c>
      <c r="X90" s="57"/>
      <c r="Y90" s="2"/>
      <c r="Z90" s="2"/>
      <c r="AA90" s="2"/>
      <c r="AB90" s="2"/>
      <c r="AC90" s="2"/>
      <c r="AD90" s="2"/>
      <c r="AE90" s="2"/>
      <c r="AF90" s="2"/>
      <c r="AG90" s="2"/>
      <c r="AH90" s="2"/>
      <c r="AI90" s="2">
        <v>3</v>
      </c>
      <c r="AJ90" s="2" t="s">
        <v>47</v>
      </c>
      <c r="AK90" s="57" t="str">
        <f t="shared" si="22"/>
        <v/>
      </c>
      <c r="AL90" s="57"/>
      <c r="AM90" s="2"/>
      <c r="AN90" s="2"/>
      <c r="AO90" s="2"/>
      <c r="AP90" s="2"/>
      <c r="AQ90" s="2"/>
      <c r="AR90" s="2"/>
      <c r="AS90" s="2"/>
      <c r="AT90" s="2"/>
      <c r="AU90" s="2"/>
      <c r="AW90" s="2">
        <v>3</v>
      </c>
      <c r="AX90" s="2" t="s">
        <v>47</v>
      </c>
      <c r="AY90" s="57" t="str">
        <f t="shared" si="23"/>
        <v/>
      </c>
      <c r="AZ90" s="57"/>
      <c r="BA90" s="2"/>
      <c r="BB90" s="2"/>
      <c r="BC90" s="2"/>
      <c r="BD90" s="2"/>
      <c r="BE90" s="2"/>
      <c r="BF90" s="2"/>
      <c r="BG90" s="2"/>
      <c r="BH90" s="2"/>
      <c r="BK90" s="2">
        <v>3</v>
      </c>
      <c r="BL90" s="2" t="s">
        <v>47</v>
      </c>
      <c r="BM90" s="57" t="str">
        <f t="shared" si="24"/>
        <v/>
      </c>
      <c r="BN90" s="57"/>
      <c r="BO90" s="2"/>
      <c r="BP90" s="2"/>
      <c r="BQ90" s="2"/>
      <c r="BR90" s="2"/>
      <c r="BS90" s="2"/>
      <c r="BT90" s="2"/>
      <c r="BU90" s="2"/>
      <c r="BV90" s="2">
        <v>3</v>
      </c>
      <c r="BW90" s="2" t="s">
        <v>47</v>
      </c>
      <c r="BX90" s="57" t="str">
        <f t="shared" si="25"/>
        <v/>
      </c>
      <c r="BY90" s="57"/>
      <c r="BZ90" s="2"/>
      <c r="CA90" s="2"/>
      <c r="CB90" s="2"/>
      <c r="CC90" s="2"/>
      <c r="CD90" s="2"/>
      <c r="CE90" s="2"/>
      <c r="CF90" s="2"/>
      <c r="CG90" s="2"/>
    </row>
    <row r="91" spans="6:85">
      <c r="F91" s="2">
        <v>5</v>
      </c>
      <c r="G91" s="2" t="s">
        <v>49</v>
      </c>
      <c r="H91" s="57" t="str">
        <f t="shared" si="20"/>
        <v/>
      </c>
      <c r="I91" s="57"/>
      <c r="J91" s="2"/>
      <c r="K91" s="2"/>
      <c r="L91" s="2"/>
      <c r="M91" s="2"/>
      <c r="N91" s="2"/>
      <c r="O91" s="2"/>
      <c r="P91" s="2"/>
      <c r="Q91" s="2"/>
      <c r="R91" s="2"/>
      <c r="S91" s="2"/>
      <c r="U91" s="2">
        <v>4</v>
      </c>
      <c r="V91" s="2" t="s">
        <v>48</v>
      </c>
      <c r="W91" s="57" t="str">
        <f t="shared" si="21"/>
        <v/>
      </c>
      <c r="X91" s="57"/>
      <c r="Y91" s="2"/>
      <c r="Z91" s="2"/>
      <c r="AA91" s="2"/>
      <c r="AB91" s="2"/>
      <c r="AC91" s="2"/>
      <c r="AD91" s="2"/>
      <c r="AE91" s="2"/>
      <c r="AF91" s="2"/>
      <c r="AG91" s="2"/>
      <c r="AH91" s="2"/>
      <c r="AI91" s="2">
        <v>4</v>
      </c>
      <c r="AJ91" s="2" t="s">
        <v>48</v>
      </c>
      <c r="AK91" s="57" t="str">
        <f t="shared" si="22"/>
        <v/>
      </c>
      <c r="AL91" s="57"/>
      <c r="AM91" s="2"/>
      <c r="AN91" s="2"/>
      <c r="AO91" s="2"/>
      <c r="AP91" s="2"/>
      <c r="AQ91" s="2"/>
      <c r="AR91" s="2"/>
      <c r="AS91" s="2"/>
      <c r="AT91" s="2"/>
      <c r="AU91" s="2"/>
      <c r="AW91" s="2">
        <v>4</v>
      </c>
      <c r="AX91" s="2" t="s">
        <v>48</v>
      </c>
      <c r="AY91" s="57" t="str">
        <f t="shared" si="23"/>
        <v/>
      </c>
      <c r="AZ91" s="57"/>
      <c r="BA91" s="2"/>
      <c r="BB91" s="2"/>
      <c r="BC91" s="2"/>
      <c r="BD91" s="2"/>
      <c r="BE91" s="2"/>
      <c r="BF91" s="2"/>
      <c r="BG91" s="2"/>
      <c r="BH91" s="2"/>
      <c r="BK91" s="2">
        <v>4</v>
      </c>
      <c r="BL91" s="2" t="s">
        <v>48</v>
      </c>
      <c r="BM91" s="57" t="str">
        <f t="shared" si="24"/>
        <v/>
      </c>
      <c r="BN91" s="57"/>
      <c r="BO91" s="2"/>
      <c r="BP91" s="2"/>
      <c r="BQ91" s="2"/>
      <c r="BR91" s="2"/>
      <c r="BS91" s="2"/>
      <c r="BT91" s="2"/>
      <c r="BU91" s="2"/>
      <c r="BV91" s="2">
        <v>4</v>
      </c>
      <c r="BW91" s="2" t="s">
        <v>48</v>
      </c>
      <c r="BX91" s="57" t="str">
        <f t="shared" si="25"/>
        <v/>
      </c>
      <c r="BY91" s="57"/>
      <c r="BZ91" s="2"/>
      <c r="CA91" s="2"/>
      <c r="CB91" s="2"/>
      <c r="CC91" s="2"/>
      <c r="CD91" s="2"/>
      <c r="CE91" s="2"/>
      <c r="CF91" s="2"/>
      <c r="CG91" s="2"/>
    </row>
    <row r="92" spans="6:85">
      <c r="F92" s="2">
        <v>6</v>
      </c>
      <c r="G92" s="2" t="s">
        <v>50</v>
      </c>
      <c r="H92" s="57" t="str">
        <f t="shared" si="20"/>
        <v/>
      </c>
      <c r="I92" s="57"/>
      <c r="J92" s="2"/>
      <c r="K92" s="2"/>
      <c r="L92" s="2"/>
      <c r="M92" s="2"/>
      <c r="N92" s="2"/>
      <c r="O92" s="2"/>
      <c r="P92" s="2"/>
      <c r="Q92" s="2"/>
      <c r="R92" s="2"/>
      <c r="S92" s="2"/>
      <c r="U92" s="2">
        <v>5</v>
      </c>
      <c r="V92" s="2" t="s">
        <v>49</v>
      </c>
      <c r="W92" s="57" t="str">
        <f t="shared" si="21"/>
        <v/>
      </c>
      <c r="X92" s="57"/>
      <c r="Y92" s="2"/>
      <c r="Z92" s="2"/>
      <c r="AA92" s="2"/>
      <c r="AB92" s="2"/>
      <c r="AC92" s="2"/>
      <c r="AD92" s="2"/>
      <c r="AE92" s="2"/>
      <c r="AF92" s="2"/>
      <c r="AG92" s="2"/>
      <c r="AH92" s="2"/>
      <c r="AI92" s="2">
        <v>5</v>
      </c>
      <c r="AJ92" s="2" t="s">
        <v>49</v>
      </c>
      <c r="AK92" s="57" t="str">
        <f t="shared" si="22"/>
        <v/>
      </c>
      <c r="AL92" s="57"/>
      <c r="AM92" s="2"/>
      <c r="AN92" s="2"/>
      <c r="AO92" s="2"/>
      <c r="AP92" s="2"/>
      <c r="AQ92" s="2"/>
      <c r="AR92" s="2"/>
      <c r="AS92" s="2"/>
      <c r="AT92" s="2"/>
      <c r="AU92" s="2"/>
      <c r="AW92" s="2">
        <v>5</v>
      </c>
      <c r="AX92" s="2" t="s">
        <v>49</v>
      </c>
      <c r="AY92" s="57" t="str">
        <f t="shared" si="23"/>
        <v/>
      </c>
      <c r="AZ92" s="57"/>
      <c r="BA92" s="2"/>
      <c r="BB92" s="2"/>
      <c r="BC92" s="2"/>
      <c r="BD92" s="2"/>
      <c r="BE92" s="2"/>
      <c r="BF92" s="2"/>
      <c r="BG92" s="2"/>
      <c r="BH92" s="2"/>
      <c r="BK92" s="2">
        <v>5</v>
      </c>
      <c r="BL92" s="2" t="s">
        <v>49</v>
      </c>
      <c r="BM92" s="57" t="str">
        <f t="shared" si="24"/>
        <v/>
      </c>
      <c r="BN92" s="57"/>
      <c r="BO92" s="2"/>
      <c r="BP92" s="2"/>
      <c r="BQ92" s="2"/>
      <c r="BR92" s="2"/>
      <c r="BS92" s="2"/>
      <c r="BT92" s="2"/>
      <c r="BU92" s="2"/>
      <c r="BV92" s="2">
        <v>5</v>
      </c>
      <c r="BW92" s="2" t="s">
        <v>49</v>
      </c>
      <c r="BX92" s="57" t="str">
        <f t="shared" si="25"/>
        <v/>
      </c>
      <c r="BY92" s="57"/>
      <c r="BZ92" s="2"/>
      <c r="CA92" s="2"/>
      <c r="CB92" s="2"/>
      <c r="CC92" s="2"/>
      <c r="CD92" s="2"/>
      <c r="CE92" s="2"/>
      <c r="CF92" s="2"/>
      <c r="CG92" s="2"/>
    </row>
    <row r="93" spans="6:85">
      <c r="F93" s="2">
        <v>7</v>
      </c>
      <c r="G93" s="2" t="s">
        <v>51</v>
      </c>
      <c r="H93" s="57" t="str">
        <f t="shared" si="20"/>
        <v/>
      </c>
      <c r="I93" s="57"/>
      <c r="J93" s="2"/>
      <c r="K93" s="2"/>
      <c r="L93" s="2"/>
      <c r="M93" s="2"/>
      <c r="N93" s="2"/>
      <c r="O93" s="2"/>
      <c r="P93" s="2"/>
      <c r="Q93" s="2"/>
      <c r="R93" s="2"/>
      <c r="S93" s="2"/>
      <c r="U93" s="2">
        <v>6</v>
      </c>
      <c r="V93" s="2" t="s">
        <v>50</v>
      </c>
      <c r="W93" s="57" t="str">
        <f t="shared" si="21"/>
        <v/>
      </c>
      <c r="X93" s="57"/>
      <c r="Y93" s="2"/>
      <c r="Z93" s="2"/>
      <c r="AA93" s="2"/>
      <c r="AB93" s="2"/>
      <c r="AC93" s="2"/>
      <c r="AD93" s="2"/>
      <c r="AE93" s="2"/>
      <c r="AF93" s="2"/>
      <c r="AG93" s="2"/>
      <c r="AH93" s="2"/>
      <c r="AI93" s="2">
        <v>6</v>
      </c>
      <c r="AJ93" s="2" t="s">
        <v>50</v>
      </c>
      <c r="AK93" s="57" t="str">
        <f t="shared" si="22"/>
        <v/>
      </c>
      <c r="AL93" s="57"/>
      <c r="AM93" s="2"/>
      <c r="AN93" s="2"/>
      <c r="AO93" s="2"/>
      <c r="AP93" s="2"/>
      <c r="AQ93" s="2"/>
      <c r="AR93" s="2"/>
      <c r="AS93" s="2"/>
      <c r="AT93" s="2"/>
      <c r="AU93" s="2"/>
      <c r="AW93" s="2">
        <v>6</v>
      </c>
      <c r="AX93" s="2" t="s">
        <v>50</v>
      </c>
      <c r="AY93" s="57" t="str">
        <f t="shared" si="23"/>
        <v/>
      </c>
      <c r="AZ93" s="57"/>
      <c r="BA93" s="2"/>
      <c r="BB93" s="2"/>
      <c r="BC93" s="2"/>
      <c r="BD93" s="2"/>
      <c r="BE93" s="2"/>
      <c r="BF93" s="2"/>
      <c r="BG93" s="2"/>
      <c r="BH93" s="2"/>
      <c r="BK93" s="2">
        <v>6</v>
      </c>
      <c r="BL93" s="2" t="s">
        <v>50</v>
      </c>
      <c r="BM93" s="57" t="str">
        <f t="shared" si="24"/>
        <v/>
      </c>
      <c r="BN93" s="57"/>
      <c r="BO93" s="2"/>
      <c r="BP93" s="2"/>
      <c r="BQ93" s="2"/>
      <c r="BR93" s="2"/>
      <c r="BS93" s="2"/>
      <c r="BT93" s="2"/>
      <c r="BU93" s="2"/>
      <c r="BV93" s="2">
        <v>6</v>
      </c>
      <c r="BW93" s="2" t="s">
        <v>50</v>
      </c>
      <c r="BX93" s="57" t="str">
        <f t="shared" si="25"/>
        <v/>
      </c>
      <c r="BY93" s="57"/>
      <c r="BZ93" s="2"/>
      <c r="CA93" s="2"/>
      <c r="CB93" s="2"/>
      <c r="CC93" s="2"/>
      <c r="CD93" s="2"/>
      <c r="CE93" s="2"/>
      <c r="CF93" s="2"/>
      <c r="CG93" s="2"/>
    </row>
    <row r="94" spans="6:85">
      <c r="F94" s="2">
        <v>8</v>
      </c>
      <c r="G94" s="2" t="s">
        <v>53</v>
      </c>
      <c r="H94" s="57" t="str">
        <f t="shared" si="20"/>
        <v/>
      </c>
      <c r="I94" s="57"/>
      <c r="J94" s="2"/>
      <c r="K94" s="2"/>
      <c r="L94" s="2"/>
      <c r="M94" s="2"/>
      <c r="N94" s="2"/>
      <c r="O94" s="2"/>
      <c r="P94" s="2"/>
      <c r="Q94" s="2"/>
      <c r="R94" s="2"/>
      <c r="S94" s="2"/>
      <c r="U94" s="2">
        <v>7</v>
      </c>
      <c r="V94" s="2" t="s">
        <v>51</v>
      </c>
      <c r="W94" s="57" t="str">
        <f t="shared" si="21"/>
        <v/>
      </c>
      <c r="X94" s="57"/>
      <c r="Y94" s="2"/>
      <c r="Z94" s="2"/>
      <c r="AA94" s="2"/>
      <c r="AB94" s="2"/>
      <c r="AC94" s="2"/>
      <c r="AD94" s="2"/>
      <c r="AE94" s="2"/>
      <c r="AF94" s="2"/>
      <c r="AG94" s="2"/>
      <c r="AH94" s="2"/>
      <c r="AI94" s="2">
        <v>7</v>
      </c>
      <c r="AJ94" s="2" t="s">
        <v>51</v>
      </c>
      <c r="AK94" s="57" t="str">
        <f t="shared" si="22"/>
        <v/>
      </c>
      <c r="AL94" s="57"/>
      <c r="AM94" s="2"/>
      <c r="AN94" s="2"/>
      <c r="AO94" s="2"/>
      <c r="AP94" s="2"/>
      <c r="AQ94" s="2"/>
      <c r="AR94" s="2"/>
      <c r="AS94" s="2"/>
      <c r="AT94" s="2"/>
      <c r="AU94" s="2"/>
      <c r="AW94" s="2">
        <v>7</v>
      </c>
      <c r="AX94" s="2" t="s">
        <v>51</v>
      </c>
      <c r="AY94" s="57" t="str">
        <f t="shared" si="23"/>
        <v/>
      </c>
      <c r="AZ94" s="57"/>
      <c r="BA94" s="2"/>
      <c r="BB94" s="2"/>
      <c r="BC94" s="2"/>
      <c r="BD94" s="2"/>
      <c r="BE94" s="2"/>
      <c r="BF94" s="2"/>
      <c r="BG94" s="2"/>
      <c r="BH94" s="2"/>
      <c r="BK94" s="2">
        <v>7</v>
      </c>
      <c r="BL94" s="2" t="s">
        <v>51</v>
      </c>
      <c r="BM94" s="57" t="str">
        <f t="shared" si="24"/>
        <v/>
      </c>
      <c r="BN94" s="57"/>
      <c r="BO94" s="2"/>
      <c r="BP94" s="2"/>
      <c r="BQ94" s="2"/>
      <c r="BR94" s="2"/>
      <c r="BS94" s="2"/>
      <c r="BT94" s="2"/>
      <c r="BU94" s="2"/>
      <c r="BV94" s="2">
        <v>7</v>
      </c>
      <c r="BW94" s="2" t="s">
        <v>51</v>
      </c>
      <c r="BX94" s="57" t="str">
        <f t="shared" si="25"/>
        <v/>
      </c>
      <c r="BY94" s="57"/>
      <c r="BZ94" s="2"/>
      <c r="CA94" s="2"/>
      <c r="CB94" s="2"/>
      <c r="CC94" s="2"/>
      <c r="CD94" s="2"/>
      <c r="CE94" s="2"/>
      <c r="CF94" s="2"/>
      <c r="CG94" s="2"/>
    </row>
    <row r="95" spans="6:85">
      <c r="F95" s="2">
        <v>9</v>
      </c>
      <c r="G95" s="2" t="s">
        <v>54</v>
      </c>
      <c r="H95" s="57" t="str">
        <f t="shared" si="20"/>
        <v/>
      </c>
      <c r="I95" s="57"/>
      <c r="J95" s="2"/>
      <c r="K95" s="2"/>
      <c r="L95" s="2"/>
      <c r="M95" s="2"/>
      <c r="N95" s="2"/>
      <c r="O95" s="2"/>
      <c r="P95" s="2"/>
      <c r="Q95" s="2"/>
      <c r="R95" s="2"/>
      <c r="S95" s="2"/>
      <c r="U95" s="2">
        <v>8</v>
      </c>
      <c r="V95" s="2" t="s">
        <v>53</v>
      </c>
      <c r="W95" s="57" t="str">
        <f t="shared" si="21"/>
        <v/>
      </c>
      <c r="X95" s="57"/>
      <c r="Y95" s="2"/>
      <c r="Z95" s="2"/>
      <c r="AA95" s="2"/>
      <c r="AB95" s="2"/>
      <c r="AC95" s="2"/>
      <c r="AD95" s="2"/>
      <c r="AE95" s="2"/>
      <c r="AF95" s="2"/>
      <c r="AG95" s="2"/>
      <c r="AH95" s="2"/>
      <c r="AI95" s="2">
        <v>8</v>
      </c>
      <c r="AJ95" s="2" t="s">
        <v>53</v>
      </c>
      <c r="AK95" s="57" t="str">
        <f t="shared" si="22"/>
        <v/>
      </c>
      <c r="AL95" s="57"/>
      <c r="AM95" s="2"/>
      <c r="AN95" s="2"/>
      <c r="AO95" s="2"/>
      <c r="AP95" s="2"/>
      <c r="AQ95" s="2"/>
      <c r="AR95" s="2"/>
      <c r="AS95" s="2"/>
      <c r="AT95" s="2"/>
      <c r="AU95" s="2"/>
      <c r="AW95" s="2">
        <v>8</v>
      </c>
      <c r="AX95" s="2" t="s">
        <v>53</v>
      </c>
      <c r="AY95" s="57" t="str">
        <f t="shared" si="23"/>
        <v/>
      </c>
      <c r="AZ95" s="57"/>
      <c r="BA95" s="2"/>
      <c r="BB95" s="2"/>
      <c r="BC95" s="2"/>
      <c r="BD95" s="2"/>
      <c r="BE95" s="2"/>
      <c r="BF95" s="2"/>
      <c r="BG95" s="2"/>
      <c r="BH95" s="2"/>
      <c r="BK95" s="2">
        <v>8</v>
      </c>
      <c r="BL95" s="2" t="s">
        <v>53</v>
      </c>
      <c r="BM95" s="57" t="str">
        <f t="shared" si="24"/>
        <v/>
      </c>
      <c r="BN95" s="57"/>
      <c r="BO95" s="2"/>
      <c r="BP95" s="2"/>
      <c r="BQ95" s="2"/>
      <c r="BR95" s="2"/>
      <c r="BS95" s="2"/>
      <c r="BT95" s="2"/>
      <c r="BU95" s="2"/>
      <c r="BV95" s="2">
        <v>8</v>
      </c>
      <c r="BW95" s="2" t="s">
        <v>53</v>
      </c>
      <c r="BX95" s="57" t="str">
        <f t="shared" si="25"/>
        <v/>
      </c>
      <c r="BY95" s="57"/>
      <c r="BZ95" s="2"/>
      <c r="CA95" s="2"/>
      <c r="CB95" s="2"/>
      <c r="CC95" s="2"/>
      <c r="CD95" s="2"/>
      <c r="CE95" s="2"/>
      <c r="CF95" s="2"/>
      <c r="CG95" s="2"/>
    </row>
    <row r="96" spans="6:85">
      <c r="F96" s="2">
        <v>10</v>
      </c>
      <c r="G96" s="17" t="s">
        <v>13</v>
      </c>
      <c r="H96" s="57" t="str">
        <f t="shared" si="20"/>
        <v/>
      </c>
      <c r="I96" s="2"/>
      <c r="J96" s="2"/>
      <c r="K96" s="2"/>
      <c r="L96" s="2"/>
      <c r="M96" s="2"/>
      <c r="N96" s="2"/>
      <c r="O96" s="2"/>
      <c r="P96" s="2"/>
      <c r="Q96" s="2"/>
      <c r="R96" s="2"/>
      <c r="S96" s="2"/>
      <c r="U96" s="2">
        <v>9</v>
      </c>
      <c r="V96" s="2" t="s">
        <v>54</v>
      </c>
      <c r="W96" s="57" t="str">
        <f t="shared" si="21"/>
        <v/>
      </c>
      <c r="X96" s="57"/>
      <c r="Y96" s="2"/>
      <c r="Z96" s="2"/>
      <c r="AA96" s="2"/>
      <c r="AB96" s="2"/>
      <c r="AC96" s="2"/>
      <c r="AD96" s="2"/>
      <c r="AE96" s="2"/>
      <c r="AF96" s="2"/>
      <c r="AG96" s="2"/>
      <c r="AH96" s="2"/>
      <c r="AI96" s="2">
        <v>9</v>
      </c>
      <c r="AJ96" s="2" t="s">
        <v>54</v>
      </c>
      <c r="AK96" s="57" t="str">
        <f t="shared" si="22"/>
        <v/>
      </c>
      <c r="AL96" s="57"/>
      <c r="AM96" s="2"/>
      <c r="AN96" s="2"/>
      <c r="AO96" s="2"/>
      <c r="AP96" s="2"/>
      <c r="AQ96" s="2"/>
      <c r="AR96" s="2"/>
      <c r="AS96" s="2"/>
      <c r="AT96" s="2"/>
      <c r="AU96" s="2"/>
      <c r="AW96" s="2">
        <v>9</v>
      </c>
      <c r="AX96" s="2" t="s">
        <v>54</v>
      </c>
      <c r="AY96" s="57" t="str">
        <f t="shared" si="23"/>
        <v/>
      </c>
      <c r="AZ96" s="57"/>
      <c r="BA96" s="2"/>
      <c r="BB96" s="2"/>
      <c r="BC96" s="2"/>
      <c r="BD96" s="2"/>
      <c r="BE96" s="2"/>
      <c r="BF96" s="2"/>
      <c r="BG96" s="2"/>
      <c r="BH96" s="2"/>
      <c r="BK96" s="2">
        <v>9</v>
      </c>
      <c r="BL96" s="2" t="s">
        <v>54</v>
      </c>
      <c r="BM96" s="57" t="str">
        <f t="shared" si="24"/>
        <v/>
      </c>
      <c r="BN96" s="57"/>
      <c r="BO96" s="2"/>
      <c r="BP96" s="2"/>
      <c r="BQ96" s="2"/>
      <c r="BR96" s="2"/>
      <c r="BS96" s="2"/>
      <c r="BT96" s="2"/>
      <c r="BU96" s="2"/>
      <c r="BV96" s="2">
        <v>9</v>
      </c>
      <c r="BW96" s="2" t="s">
        <v>54</v>
      </c>
      <c r="BX96" s="57" t="str">
        <f t="shared" si="25"/>
        <v/>
      </c>
      <c r="BY96" s="57"/>
      <c r="BZ96" s="2"/>
      <c r="CA96" s="2"/>
      <c r="CB96" s="2"/>
      <c r="CC96" s="2"/>
      <c r="CD96" s="2"/>
      <c r="CE96" s="2"/>
      <c r="CF96" s="2"/>
      <c r="CG96" s="2"/>
    </row>
    <row r="97" spans="6:85">
      <c r="F97" s="2"/>
      <c r="G97" s="2"/>
      <c r="H97" s="2"/>
      <c r="I97" s="2"/>
      <c r="J97" s="2"/>
      <c r="K97" s="2"/>
      <c r="L97" s="2"/>
      <c r="M97" s="2"/>
      <c r="N97" s="2"/>
      <c r="O97" s="2"/>
      <c r="P97" s="2"/>
      <c r="Q97" s="2"/>
      <c r="R97" s="2"/>
      <c r="S97" s="2"/>
      <c r="U97" s="2">
        <v>10</v>
      </c>
      <c r="V97" s="17" t="s">
        <v>13</v>
      </c>
      <c r="W97" s="57" t="str">
        <f t="shared" si="21"/>
        <v/>
      </c>
      <c r="X97" s="2"/>
      <c r="Y97" s="2"/>
      <c r="Z97" s="2"/>
      <c r="AA97" s="2"/>
      <c r="AB97" s="2"/>
      <c r="AC97" s="2"/>
      <c r="AD97" s="2"/>
      <c r="AE97" s="2"/>
      <c r="AF97" s="2"/>
      <c r="AG97" s="2"/>
      <c r="AH97" s="2"/>
      <c r="AI97" s="2"/>
      <c r="AJ97" s="2"/>
      <c r="AK97" s="2"/>
      <c r="AL97" s="2"/>
      <c r="AM97" s="2"/>
      <c r="AN97" s="2"/>
      <c r="AO97" s="2"/>
      <c r="AP97" s="2"/>
      <c r="AQ97" s="2"/>
      <c r="AR97" s="2"/>
      <c r="AS97" s="2"/>
      <c r="AT97" s="2"/>
      <c r="AU97" s="2"/>
      <c r="AW97" s="2"/>
      <c r="AX97" s="2"/>
      <c r="AY97" s="2"/>
      <c r="AZ97" s="2"/>
      <c r="BA97" s="2"/>
      <c r="BB97" s="2"/>
      <c r="BC97" s="2"/>
      <c r="BD97" s="2"/>
      <c r="BE97" s="2"/>
      <c r="BF97" s="2"/>
      <c r="BG97" s="2"/>
      <c r="BH97" s="2"/>
      <c r="BK97" s="2"/>
      <c r="BL97" s="2"/>
      <c r="BM97" s="2"/>
      <c r="BN97" s="2"/>
      <c r="BO97" s="2"/>
      <c r="BP97" s="2"/>
      <c r="BQ97" s="2"/>
      <c r="BR97" s="2"/>
      <c r="BS97" s="2"/>
      <c r="BT97" s="2"/>
      <c r="BU97" s="2"/>
      <c r="BV97" s="2"/>
      <c r="BW97" s="2"/>
      <c r="BX97" s="2"/>
      <c r="BY97" s="2"/>
      <c r="BZ97" s="2"/>
      <c r="CA97" s="2"/>
      <c r="CB97" s="2"/>
      <c r="CC97" s="2"/>
      <c r="CD97" s="2"/>
      <c r="CE97" s="2"/>
      <c r="CF97" s="2"/>
      <c r="CG97" s="2"/>
    </row>
    <row r="98" spans="6:85">
      <c r="F98" s="2"/>
      <c r="G98" s="12" t="s">
        <v>56</v>
      </c>
      <c r="H98" s="12" t="s">
        <v>69</v>
      </c>
      <c r="I98" s="2" t="s">
        <v>58</v>
      </c>
      <c r="J98" s="2" t="s">
        <v>58</v>
      </c>
      <c r="K98" s="12" t="s">
        <v>59</v>
      </c>
      <c r="L98" s="2" t="s">
        <v>60</v>
      </c>
      <c r="M98" s="2" t="s">
        <v>61</v>
      </c>
      <c r="N98" s="2" t="s">
        <v>62</v>
      </c>
      <c r="O98" s="2"/>
      <c r="P98" s="2"/>
      <c r="Q98" s="2"/>
      <c r="R98" s="2"/>
      <c r="S98" s="2"/>
      <c r="U98" s="2"/>
      <c r="V98" s="12" t="s">
        <v>56</v>
      </c>
      <c r="W98" s="12" t="s">
        <v>69</v>
      </c>
      <c r="X98" s="2" t="s">
        <v>58</v>
      </c>
      <c r="Y98" s="2" t="s">
        <v>58</v>
      </c>
      <c r="Z98" s="12" t="s">
        <v>59</v>
      </c>
      <c r="AA98" s="2" t="s">
        <v>60</v>
      </c>
      <c r="AB98" s="2" t="s">
        <v>61</v>
      </c>
      <c r="AC98" s="2" t="s">
        <v>62</v>
      </c>
      <c r="AD98" s="2"/>
      <c r="AE98" s="2"/>
      <c r="AF98" s="2"/>
      <c r="AG98" s="2"/>
      <c r="AH98" s="2"/>
      <c r="AI98" s="2"/>
      <c r="AJ98" s="12" t="s">
        <v>56</v>
      </c>
      <c r="AK98" s="12" t="s">
        <v>69</v>
      </c>
      <c r="AL98" s="2" t="s">
        <v>58</v>
      </c>
      <c r="AM98" s="2" t="s">
        <v>58</v>
      </c>
      <c r="AN98" s="12" t="s">
        <v>59</v>
      </c>
      <c r="AO98" s="2" t="s">
        <v>60</v>
      </c>
      <c r="AP98" s="2" t="s">
        <v>61</v>
      </c>
      <c r="AQ98" s="2" t="s">
        <v>62</v>
      </c>
      <c r="AR98" s="2"/>
      <c r="AS98" s="2"/>
      <c r="AT98" s="2"/>
      <c r="AU98" s="2"/>
      <c r="AW98" s="2"/>
      <c r="AX98" s="12" t="s">
        <v>56</v>
      </c>
      <c r="AY98" s="12" t="s">
        <v>69</v>
      </c>
      <c r="AZ98" s="2" t="s">
        <v>58</v>
      </c>
      <c r="BA98" s="2" t="s">
        <v>58</v>
      </c>
      <c r="BB98" s="12" t="s">
        <v>59</v>
      </c>
      <c r="BC98" s="2" t="s">
        <v>60</v>
      </c>
      <c r="BD98" s="2" t="s">
        <v>61</v>
      </c>
      <c r="BE98" s="2" t="s">
        <v>62</v>
      </c>
      <c r="BF98" s="2"/>
      <c r="BG98" s="2"/>
      <c r="BH98" s="2"/>
      <c r="BK98" s="2"/>
      <c r="BL98" s="12" t="s">
        <v>56</v>
      </c>
      <c r="BM98" s="12" t="s">
        <v>69</v>
      </c>
      <c r="BN98" s="2" t="s">
        <v>58</v>
      </c>
      <c r="BO98" s="2" t="s">
        <v>58</v>
      </c>
      <c r="BP98" s="12" t="s">
        <v>59</v>
      </c>
      <c r="BQ98" s="2" t="s">
        <v>60</v>
      </c>
      <c r="BR98" s="2" t="s">
        <v>61</v>
      </c>
      <c r="BS98" s="2" t="s">
        <v>62</v>
      </c>
      <c r="BT98" s="2"/>
      <c r="BU98" s="2"/>
      <c r="BV98" s="2"/>
      <c r="BW98" s="12" t="s">
        <v>56</v>
      </c>
      <c r="BX98" s="12" t="s">
        <v>69</v>
      </c>
      <c r="BY98" s="2" t="s">
        <v>58</v>
      </c>
      <c r="BZ98" s="2" t="s">
        <v>58</v>
      </c>
      <c r="CA98" s="12" t="s">
        <v>59</v>
      </c>
      <c r="CB98" s="2" t="s">
        <v>60</v>
      </c>
      <c r="CC98" s="2" t="s">
        <v>61</v>
      </c>
      <c r="CD98" s="2" t="s">
        <v>62</v>
      </c>
      <c r="CE98" s="2"/>
      <c r="CF98" s="2"/>
      <c r="CG98" s="2"/>
    </row>
    <row r="99" spans="6:85">
      <c r="F99" s="2">
        <v>1</v>
      </c>
      <c r="G99" s="3" t="s">
        <v>63</v>
      </c>
      <c r="H99" s="14">
        <f>IF(I87=1,0.20237, IF(I87=2, 0.614, IF(I87=3,0.304, IF(I87=4,0.189, IF(I87=5, 0.128, IF(I87=6, 0.096, IF(I87=7, 0.096, IF(I87=8, 0.096, IF(I87=9, 0.096,"")))))))))</f>
        <v>0.61399999999999999</v>
      </c>
      <c r="I99" s="3" t="str">
        <f>IF((J$8=G99),F99,"")</f>
        <v/>
      </c>
      <c r="J99" s="3">
        <f>IFERROR(SMALL(I$99:I$100,F99),"")</f>
        <v>2</v>
      </c>
      <c r="K99" s="3">
        <v>70</v>
      </c>
      <c r="L99" s="3" t="b">
        <f>IF(J$99=F99,J$10*(K99*H99))</f>
        <v>0</v>
      </c>
      <c r="M99" s="3" t="b">
        <f>IF(J$99=F99,J$11*(K99*H99))</f>
        <v>0</v>
      </c>
      <c r="N99" s="3">
        <f>((((L99-M99)/1000)*12919)*0.000001)*J6</f>
        <v>0</v>
      </c>
      <c r="O99" s="2" t="s">
        <v>64</v>
      </c>
      <c r="P99" s="2"/>
      <c r="Q99" s="2"/>
      <c r="R99" s="2"/>
      <c r="S99" s="2"/>
      <c r="U99" s="2">
        <v>1</v>
      </c>
      <c r="V99" s="3" t="s">
        <v>63</v>
      </c>
      <c r="W99" s="14">
        <f>IF(X88=1,0.20237, IF(X88=2, 0.614, IF(X88=3,0.304, IF(X88=4,0.189, IF(X88=5, 0.128, IF(X88=6, 0.096, IF(X88=7, 0.096, IF(X88=8, 0.096, IF(X88=9, 0.096,"")))))))))</f>
        <v>0.20236999999999999</v>
      </c>
      <c r="X99" s="3" t="str">
        <f>IF((K$8=V99),U99,"")</f>
        <v/>
      </c>
      <c r="Y99" s="3">
        <f>IFERROR(SMALL(X$99:X$100,U99),"")</f>
        <v>2</v>
      </c>
      <c r="Z99" s="3">
        <v>70</v>
      </c>
      <c r="AA99" s="3" t="b">
        <f>IF(Y$99=U99,K$10*(Z99*W99))</f>
        <v>0</v>
      </c>
      <c r="AB99" s="3" t="b">
        <f>IF(Y$99=U99,K$11*(Z99*W99))</f>
        <v>0</v>
      </c>
      <c r="AC99" s="3">
        <f>((((AA99-AB99)/1000)*12919)*0.000001)*K6</f>
        <v>0</v>
      </c>
      <c r="AD99" s="2" t="s">
        <v>64</v>
      </c>
      <c r="AE99" s="2"/>
      <c r="AF99" s="2"/>
      <c r="AG99" s="2"/>
      <c r="AH99" s="2"/>
      <c r="AI99" s="2">
        <v>1</v>
      </c>
      <c r="AJ99" s="3" t="s">
        <v>63</v>
      </c>
      <c r="AK99" s="14" t="str">
        <f>IF(AL88=1,0.20237, IF(AL88=2, 0.614, IF(AL88=3,0.304, IF(AL88=4,0.189, IF(AL88=5, 0.128, IF(AL88=6, 0.096, IF(AL88=7, 0.096, IF(AL88=8, 0.096, IF(AL88=9, 0.096,"")))))))))</f>
        <v/>
      </c>
      <c r="AL99" s="3" t="str">
        <f>IF((L$8=AJ99),AI99,"")</f>
        <v/>
      </c>
      <c r="AM99" s="3" t="str">
        <f>IFERROR(SMALL(AL$99:AL$100,AI99),"")</f>
        <v/>
      </c>
      <c r="AN99" s="3">
        <v>70</v>
      </c>
      <c r="AO99" s="3" t="b">
        <f>IF(AM$99=AI99,L$10*(AN99*AK99))</f>
        <v>0</v>
      </c>
      <c r="AP99" s="3" t="b">
        <f>IF(AM$99=AI99,L$11*(AN99*AK99))</f>
        <v>0</v>
      </c>
      <c r="AQ99" s="3">
        <f>((((AO99-AP99)/1000)*12919)*0.000001)*L6</f>
        <v>0</v>
      </c>
      <c r="AR99" s="2" t="s">
        <v>64</v>
      </c>
      <c r="AS99" s="2"/>
      <c r="AT99" s="2"/>
      <c r="AU99" s="2"/>
      <c r="AW99" s="2">
        <v>1</v>
      </c>
      <c r="AX99" s="3" t="s">
        <v>63</v>
      </c>
      <c r="AY99" s="14" t="str">
        <f>IF(AZ88=1,0.20237, IF(AZ88=2, 0.614, IF(AZ88=3,0.304, IF(AZ88=4,0.189, IF(AZ88=5, 0.128, IF(AZ88=6, 0.096, IF(AZ88=7, 0.096, IF(AZ88=8, 0.096, IF(AZ88=9, 0.096,"")))))))))</f>
        <v/>
      </c>
      <c r="AZ99" s="3" t="str">
        <f>IF((M$8=AX99),AW99,"")</f>
        <v/>
      </c>
      <c r="BA99" s="3" t="str">
        <f>IFERROR(SMALL(AZ$99:AZ$100,AW99),"")</f>
        <v/>
      </c>
      <c r="BB99" s="3">
        <v>70</v>
      </c>
      <c r="BC99" s="3" t="b">
        <f>IF(BA$99=AW99,M$10*(BB99*AY99))</f>
        <v>0</v>
      </c>
      <c r="BD99" s="3" t="b">
        <f>IF(BA$99=AW99,M$11*(BB99*AY99))</f>
        <v>0</v>
      </c>
      <c r="BE99" s="3">
        <f>((((BC99-BD99)/1000)*12919)*0.000001)*M6</f>
        <v>0</v>
      </c>
      <c r="BF99" s="2" t="s">
        <v>64</v>
      </c>
      <c r="BG99" s="2"/>
      <c r="BH99" s="2"/>
      <c r="BK99" s="2">
        <v>1</v>
      </c>
      <c r="BL99" s="3" t="s">
        <v>63</v>
      </c>
      <c r="BM99" s="14" t="str">
        <f>IF(BN88=1,0.20237, IF(BN88=2, 0.614, IF(BN88=3,0.304, IF(BN88=4,0.189, IF(BN88=5, 0.128, IF(BN88=6, 0.096, IF(BN88=7, 0.096, IF(BN88=8, 0.096, IF(BN88=9, 0.096,"")))))))))</f>
        <v/>
      </c>
      <c r="BN99" s="3" t="str">
        <f>IF((N$8=BL99),BK99,"")</f>
        <v/>
      </c>
      <c r="BO99" s="3" t="str">
        <f>IFERROR(SMALL(BN$99:BN$100,BK99),"")</f>
        <v/>
      </c>
      <c r="BP99" s="3">
        <v>70</v>
      </c>
      <c r="BQ99" s="3" t="b">
        <f>IF(BO$99=BK99,N$10*(BP99*BM99))</f>
        <v>0</v>
      </c>
      <c r="BR99" s="3" t="b">
        <f>IF(BO$99=BK99,N$11*(BP99*BM99))</f>
        <v>0</v>
      </c>
      <c r="BS99" s="3">
        <f>((((BQ99-BR99)/1000)*12919)*0.000001)*N6</f>
        <v>0</v>
      </c>
      <c r="BT99" s="2" t="s">
        <v>64</v>
      </c>
      <c r="BU99" s="2"/>
      <c r="BV99" s="2">
        <v>1</v>
      </c>
      <c r="BW99" s="3" t="s">
        <v>63</v>
      </c>
      <c r="BX99" s="14" t="str">
        <f>IF(BY88=1,0.20237, IF(BY88=2, 0.614, IF(BY88=3,0.304, IF(BY88=4,0.189, IF(BY88=5, 0.128, IF(BY88=6, 0.096, IF(BY88=7, 0.096, IF(BY88=8, 0.096, IF(BY88=9, 0.096,"")))))))))</f>
        <v/>
      </c>
      <c r="BY99" s="3" t="str">
        <f>IF((O$8=BW99),BV99,"")</f>
        <v/>
      </c>
      <c r="BZ99" s="3" t="str">
        <f>IFERROR(SMALL(BY$99:BY$100,BV99),"")</f>
        <v/>
      </c>
      <c r="CA99" s="3">
        <v>70</v>
      </c>
      <c r="CB99" s="3" t="b">
        <f>IF(BZ$99=BV99,O$10*(CA99*BX99))</f>
        <v>0</v>
      </c>
      <c r="CC99" s="3" t="b">
        <f>IF(BZ$99=BV99,O$11*(CA99*BX99))</f>
        <v>0</v>
      </c>
      <c r="CD99" s="3">
        <f>((((CB99-CC99)/1000)*12919)*0.000001)*O6</f>
        <v>0</v>
      </c>
      <c r="CE99" s="2" t="s">
        <v>64</v>
      </c>
      <c r="CF99" s="2"/>
      <c r="CG99" s="2"/>
    </row>
    <row r="100" spans="6:85">
      <c r="F100" s="2">
        <v>2</v>
      </c>
      <c r="G100" s="3" t="s">
        <v>19</v>
      </c>
      <c r="H100" s="14">
        <f>IF(I87=1,0.06987, IF(I87=2, 0.141, IF(I87=3, 0.149, IF(I87=4, 0.094, IF(I87=5, 0.035, IF(I87=6, 0.035, IF(I87=7, 0.035, IF(I87=8, 0.035, IF(I87=9, 0.035,"")))))))))</f>
        <v>0.14099999999999999</v>
      </c>
      <c r="I100" s="3">
        <f>IF((J$8=G100),F100,"")</f>
        <v>2</v>
      </c>
      <c r="J100" s="3" t="str">
        <f>IFERROR(SMALL(I$99:I$100,F100),"")</f>
        <v/>
      </c>
      <c r="K100" s="3">
        <v>80</v>
      </c>
      <c r="L100" s="3">
        <f>IF(J$99=F100,J$10*(K100*H100))</f>
        <v>1128000</v>
      </c>
      <c r="M100" s="3">
        <f>IF(J$99=F100,J$11*(K100*H100))</f>
        <v>1015200</v>
      </c>
      <c r="N100" s="3">
        <f>((((L100-M100)/1000)*20787)*0.000001)*J6</f>
        <v>2.3447735999999999</v>
      </c>
      <c r="O100" s="2" t="s">
        <v>64</v>
      </c>
      <c r="P100" s="2"/>
      <c r="Q100" s="2"/>
      <c r="R100" s="2"/>
      <c r="S100" s="2"/>
      <c r="U100" s="2">
        <v>2</v>
      </c>
      <c r="V100" s="3" t="s">
        <v>19</v>
      </c>
      <c r="W100" s="14">
        <f>IF(X88=1,0.06987, IF(X88=2, 0.141, IF(X88=3, 0.149, IF(X88=4, 0.094, IF(X88=5, 0.035, IF(X88=6, 0.035, IF(X88=7, 0.035, IF(X88=8, 0.035, IF(X88=9, 0.035,"")))))))))</f>
        <v>6.9870000000000002E-2</v>
      </c>
      <c r="X100" s="3">
        <f>IF((K$8=V100),U100,"")</f>
        <v>2</v>
      </c>
      <c r="Y100" s="3" t="str">
        <f>IFERROR(SMALL(X$99:X$100,U100),"")</f>
        <v/>
      </c>
      <c r="Z100" s="3">
        <v>80</v>
      </c>
      <c r="AA100" s="3">
        <f>IF(Y$99=U100,K$10*(Z100*W100))</f>
        <v>0</v>
      </c>
      <c r="AB100" s="3">
        <f>IF(Y$99=U100,K$11*(Z100*W100))</f>
        <v>0</v>
      </c>
      <c r="AC100" s="3">
        <f>((((AA100-AB100)/1000)*20787)*0.000001)*K6</f>
        <v>0</v>
      </c>
      <c r="AD100" s="2" t="s">
        <v>64</v>
      </c>
      <c r="AE100" s="2"/>
      <c r="AF100" s="2"/>
      <c r="AG100" s="2"/>
      <c r="AH100" s="2"/>
      <c r="AI100" s="2">
        <v>2</v>
      </c>
      <c r="AJ100" s="3" t="s">
        <v>19</v>
      </c>
      <c r="AK100" s="14" t="str">
        <f>IF(AL88=1,0.06987, IF(AL88=2, 0.141, IF(AL88=3, 0.149, IF(AL88=4, 0.094, IF(AL88=5, 0.035, IF(AL88=6, 0.035, IF(AL88=7, 0.035, IF(AL88=8, 0.035, IF(AL88=9, 0.035,"")))))))))</f>
        <v/>
      </c>
      <c r="AL100" s="3" t="str">
        <f>IF((L$8=AJ100),AI100,"")</f>
        <v/>
      </c>
      <c r="AM100" s="3" t="str">
        <f>IFERROR(SMALL(AL$99:AL$100,AI100),"")</f>
        <v/>
      </c>
      <c r="AN100" s="3">
        <v>80</v>
      </c>
      <c r="AO100" s="3" t="b">
        <f>IF(AM$99=AI100,L$10*(AN100*AK100))</f>
        <v>0</v>
      </c>
      <c r="AP100" s="3" t="b">
        <f>IF(AM$99=AI100,L$11*(AN100*AK100))</f>
        <v>0</v>
      </c>
      <c r="AQ100" s="3">
        <f>((((AO100-AP100)/1000)*20787)*0.000001)*L6</f>
        <v>0</v>
      </c>
      <c r="AR100" s="2" t="s">
        <v>64</v>
      </c>
      <c r="AS100" s="2"/>
      <c r="AT100" s="2"/>
      <c r="AU100" s="2"/>
      <c r="AW100" s="2">
        <v>2</v>
      </c>
      <c r="AX100" s="3" t="s">
        <v>19</v>
      </c>
      <c r="AY100" s="14" t="str">
        <f>IF(AZ88=1,0.06987, IF(AZ88=2, 0.141, IF(AZ88=3, 0.149, IF(AZ88=4, 0.094, IF(AZ88=5, 0.035, IF(AZ88=6, 0.035, IF(AZ88=7, 0.035, IF(AZ88=8, 0.035, IF(AZ88=9, 0.035,"")))))))))</f>
        <v/>
      </c>
      <c r="AZ100" s="3" t="str">
        <f>IF((M$8=AX100),AW100,"")</f>
        <v/>
      </c>
      <c r="BA100" s="3" t="str">
        <f>IFERROR(SMALL(AZ$99:AZ$100,AW100),"")</f>
        <v/>
      </c>
      <c r="BB100" s="3">
        <v>80</v>
      </c>
      <c r="BC100" s="3" t="b">
        <f>IF(BA$99=AW100,M$10*(BB100*AY100))</f>
        <v>0</v>
      </c>
      <c r="BD100" s="3" t="b">
        <f>IF(BA$99=AW100,M$11*(BB100*AY100))</f>
        <v>0</v>
      </c>
      <c r="BE100" s="3">
        <f>((((BC100-BD100)/1000)*20787)*0.000001)*M6</f>
        <v>0</v>
      </c>
      <c r="BF100" s="2" t="s">
        <v>64</v>
      </c>
      <c r="BG100" s="2"/>
      <c r="BH100" s="2"/>
      <c r="BK100" s="2">
        <v>2</v>
      </c>
      <c r="BL100" s="3" t="s">
        <v>19</v>
      </c>
      <c r="BM100" s="14" t="str">
        <f>IF(BN88=1,0.06987, IF(BN88=2, 0.141, IF(BN88=3, 0.149, IF(BN88=4, 0.094, IF(BN88=5, 0.035, IF(BN88=6, 0.035, IF(BN88=7, 0.035, IF(BN88=8, 0.035, IF(BN88=9, 0.035,"")))))))))</f>
        <v/>
      </c>
      <c r="BN100" s="3" t="str">
        <f>IF((N$8=BL100),BK100,"")</f>
        <v/>
      </c>
      <c r="BO100" s="3" t="str">
        <f>IFERROR(SMALL(BN$99:BN$100,BK100),"")</f>
        <v/>
      </c>
      <c r="BP100" s="3">
        <v>80</v>
      </c>
      <c r="BQ100" s="3" t="b">
        <f>IF(BO$99=BK100,N$10*(BP100*BM100))</f>
        <v>0</v>
      </c>
      <c r="BR100" s="3" t="b">
        <f>IF(BO$99=BK100,N$11*(BP100*BM100))</f>
        <v>0</v>
      </c>
      <c r="BS100" s="3">
        <f>((((BQ100-BR100)/1000)*20787)*0.000001)*N6</f>
        <v>0</v>
      </c>
      <c r="BT100" s="2" t="s">
        <v>64</v>
      </c>
      <c r="BU100" s="2"/>
      <c r="BV100" s="2">
        <v>2</v>
      </c>
      <c r="BW100" s="3" t="s">
        <v>19</v>
      </c>
      <c r="BX100" s="14" t="str">
        <f>IF(BY88=1,0.06987, IF(BY88=2, 0.141, IF(BY88=3, 0.149, IF(BY88=4, 0.094, IF(BY88=5, 0.035, IF(BY88=6, 0.035, IF(BY88=7, 0.035, IF(BY88=8, 0.035, IF(BY88=9, 0.035,"")))))))))</f>
        <v/>
      </c>
      <c r="BY100" s="3" t="str">
        <f>IF((O$8=BW100),BV100,"")</f>
        <v/>
      </c>
      <c r="BZ100" s="3" t="str">
        <f>IFERROR(SMALL(BY$99:BY$100,BV100),"")</f>
        <v/>
      </c>
      <c r="CA100" s="3">
        <v>80</v>
      </c>
      <c r="CB100" s="3" t="b">
        <f>IF(BZ$99=BV100,O$10*(CA100*BX100))</f>
        <v>0</v>
      </c>
      <c r="CC100" s="3" t="b">
        <f>IF(BZ$99=BV100,O$11*(CA100*BX100))</f>
        <v>0</v>
      </c>
      <c r="CD100" s="3">
        <f>((((CB100-CC100)/1000)*20787)*0.000001)*O6</f>
        <v>0</v>
      </c>
      <c r="CE100" s="2" t="s">
        <v>64</v>
      </c>
      <c r="CF100" s="2"/>
      <c r="CG100" s="2"/>
    </row>
    <row r="101" spans="6:85">
      <c r="F101" s="2">
        <v>3</v>
      </c>
      <c r="G101" s="17" t="s">
        <v>13</v>
      </c>
      <c r="H101" s="2"/>
      <c r="I101" s="2"/>
      <c r="J101" s="2"/>
      <c r="K101" s="2"/>
      <c r="L101" s="2"/>
      <c r="M101" s="2"/>
      <c r="N101" s="2"/>
      <c r="O101" s="2"/>
      <c r="P101" s="2"/>
      <c r="Q101" s="2"/>
      <c r="R101" s="2"/>
      <c r="S101" s="2"/>
      <c r="U101" s="2"/>
      <c r="V101" s="2"/>
      <c r="W101" s="2"/>
      <c r="X101" s="2"/>
      <c r="Y101" s="2"/>
      <c r="Z101" s="2"/>
      <c r="AA101" s="2"/>
      <c r="AB101" s="2"/>
      <c r="AC101" s="2"/>
      <c r="AD101" s="2"/>
      <c r="AE101" s="2"/>
      <c r="AF101" s="2"/>
      <c r="AG101" s="2"/>
      <c r="AH101" s="2"/>
      <c r="AI101" s="2"/>
      <c r="AJ101" s="2"/>
      <c r="AK101" s="2"/>
      <c r="AL101" s="2"/>
      <c r="AM101" s="2"/>
      <c r="AN101" s="2"/>
      <c r="AO101" s="2"/>
      <c r="AP101" s="2"/>
      <c r="AQ101" s="2"/>
      <c r="AR101" s="2"/>
      <c r="AS101" s="2"/>
      <c r="AT101" s="2"/>
      <c r="AU101" s="2"/>
      <c r="AW101" s="2"/>
      <c r="AX101" s="2"/>
      <c r="AY101" s="2"/>
      <c r="AZ101" s="2"/>
      <c r="BA101" s="2"/>
      <c r="BB101" s="2"/>
      <c r="BC101" s="2"/>
      <c r="BD101" s="2"/>
      <c r="BE101" s="2"/>
      <c r="BF101" s="2"/>
      <c r="BG101" s="2"/>
      <c r="BH101" s="2"/>
      <c r="BK101" s="2"/>
      <c r="BL101" s="2"/>
      <c r="BM101" s="2"/>
      <c r="BN101" s="2"/>
      <c r="BO101" s="2"/>
      <c r="BP101" s="2"/>
      <c r="BQ101" s="2"/>
      <c r="BR101" s="2"/>
      <c r="BS101" s="2"/>
      <c r="BT101" s="2"/>
      <c r="BU101" s="2"/>
      <c r="BV101" s="2"/>
      <c r="BW101" s="2"/>
      <c r="BX101" s="2"/>
      <c r="BY101" s="2"/>
      <c r="BZ101" s="2"/>
      <c r="CA101" s="2"/>
      <c r="CB101" s="2"/>
      <c r="CC101" s="2"/>
      <c r="CD101" s="2"/>
      <c r="CE101" s="2"/>
      <c r="CF101" s="2"/>
      <c r="CG101" s="2"/>
    </row>
    <row r="102" spans="6:85">
      <c r="F102" s="2"/>
      <c r="G102" s="12" t="s">
        <v>56</v>
      </c>
      <c r="H102" s="12" t="s">
        <v>70</v>
      </c>
      <c r="I102" s="2" t="s">
        <v>58</v>
      </c>
      <c r="J102" s="2" t="s">
        <v>58</v>
      </c>
      <c r="K102" s="12" t="s">
        <v>59</v>
      </c>
      <c r="L102" s="2" t="s">
        <v>60</v>
      </c>
      <c r="M102" s="2" t="s">
        <v>61</v>
      </c>
      <c r="N102" s="2" t="s">
        <v>62</v>
      </c>
      <c r="O102" s="2"/>
      <c r="P102" s="2"/>
      <c r="Q102" s="2"/>
      <c r="R102" s="2"/>
      <c r="S102" s="2"/>
      <c r="U102" s="2"/>
      <c r="V102" s="12" t="s">
        <v>56</v>
      </c>
      <c r="W102" s="12" t="s">
        <v>70</v>
      </c>
      <c r="X102" s="2" t="s">
        <v>58</v>
      </c>
      <c r="Y102" s="2" t="s">
        <v>58</v>
      </c>
      <c r="Z102" s="12" t="s">
        <v>59</v>
      </c>
      <c r="AA102" s="2" t="s">
        <v>60</v>
      </c>
      <c r="AB102" s="2" t="s">
        <v>61</v>
      </c>
      <c r="AC102" s="2" t="s">
        <v>62</v>
      </c>
      <c r="AD102" s="2"/>
      <c r="AE102" s="2"/>
      <c r="AF102" s="2"/>
      <c r="AG102" s="2"/>
      <c r="AH102" s="2"/>
      <c r="AI102" s="2"/>
      <c r="AJ102" s="12" t="s">
        <v>56</v>
      </c>
      <c r="AK102" s="12" t="s">
        <v>70</v>
      </c>
      <c r="AL102" s="2" t="s">
        <v>58</v>
      </c>
      <c r="AM102" s="2" t="s">
        <v>58</v>
      </c>
      <c r="AN102" s="12" t="s">
        <v>59</v>
      </c>
      <c r="AO102" s="2" t="s">
        <v>60</v>
      </c>
      <c r="AP102" s="2" t="s">
        <v>61</v>
      </c>
      <c r="AQ102" s="2" t="s">
        <v>62</v>
      </c>
      <c r="AR102" s="2"/>
      <c r="AS102" s="2"/>
      <c r="AT102" s="2"/>
      <c r="AU102" s="2"/>
      <c r="AW102" s="2"/>
      <c r="AX102" s="12" t="s">
        <v>56</v>
      </c>
      <c r="AY102" s="12" t="s">
        <v>70</v>
      </c>
      <c r="AZ102" s="2" t="s">
        <v>58</v>
      </c>
      <c r="BA102" s="2" t="s">
        <v>58</v>
      </c>
      <c r="BB102" s="12" t="s">
        <v>59</v>
      </c>
      <c r="BC102" s="2" t="s">
        <v>60</v>
      </c>
      <c r="BD102" s="2" t="s">
        <v>61</v>
      </c>
      <c r="BE102" s="2" t="s">
        <v>62</v>
      </c>
      <c r="BF102" s="2"/>
      <c r="BG102" s="2"/>
      <c r="BH102" s="2"/>
      <c r="BK102" s="2"/>
      <c r="BL102" s="12" t="s">
        <v>56</v>
      </c>
      <c r="BM102" s="12" t="s">
        <v>70</v>
      </c>
      <c r="BN102" s="2" t="s">
        <v>58</v>
      </c>
      <c r="BO102" s="2" t="s">
        <v>58</v>
      </c>
      <c r="BP102" s="12" t="s">
        <v>59</v>
      </c>
      <c r="BQ102" s="2" t="s">
        <v>60</v>
      </c>
      <c r="BR102" s="2" t="s">
        <v>61</v>
      </c>
      <c r="BS102" s="2" t="s">
        <v>62</v>
      </c>
      <c r="BT102" s="2"/>
      <c r="BU102" s="2"/>
      <c r="BV102" s="2"/>
      <c r="BW102" s="12" t="s">
        <v>56</v>
      </c>
      <c r="BX102" s="12" t="s">
        <v>70</v>
      </c>
      <c r="BY102" s="2" t="s">
        <v>58</v>
      </c>
      <c r="BZ102" s="2" t="s">
        <v>58</v>
      </c>
      <c r="CA102" s="12" t="s">
        <v>59</v>
      </c>
      <c r="CB102" s="2" t="s">
        <v>60</v>
      </c>
      <c r="CC102" s="2" t="s">
        <v>61</v>
      </c>
      <c r="CD102" s="2" t="s">
        <v>62</v>
      </c>
      <c r="CE102" s="2"/>
      <c r="CF102" s="2"/>
      <c r="CG102" s="2"/>
    </row>
    <row r="103" spans="6:85">
      <c r="F103" s="2">
        <v>1</v>
      </c>
      <c r="G103" s="3" t="s">
        <v>63</v>
      </c>
      <c r="H103" s="14">
        <f>IF(I87=1,0.15525, IF(I87=2, 0.563, IF(I87=3, 0.23, IF(I87=4, 0.129, IF(I87=5, 0.064, IF(I87=6, 0.064, IF(I87=7, 0.064, IF(I87=8, 0.064, IF(I87=9, 0.064,"")))))))))</f>
        <v>0.56299999999999994</v>
      </c>
      <c r="I103" s="3" t="str">
        <f>IF((J$8=G103),F103,"")</f>
        <v/>
      </c>
      <c r="J103" s="3">
        <f>IFERROR(SMALL(I$103:I$104,F103),"")</f>
        <v>2</v>
      </c>
      <c r="K103" s="3">
        <v>70</v>
      </c>
      <c r="L103" s="3" t="b">
        <f>IF(J$103=F103,J$10*(K103*H103))</f>
        <v>0</v>
      </c>
      <c r="M103" s="3" t="b">
        <f>IF(J$103=F103,J$11*(K103*H103))</f>
        <v>0</v>
      </c>
      <c r="N103" s="3">
        <f>((((L103-M103)/1000)*12919)*0.000001)*J6</f>
        <v>0</v>
      </c>
      <c r="O103" s="2" t="s">
        <v>64</v>
      </c>
      <c r="P103" s="2"/>
      <c r="Q103" s="2"/>
      <c r="R103" s="2"/>
      <c r="S103" s="2"/>
      <c r="U103" s="2">
        <v>1</v>
      </c>
      <c r="V103" s="3" t="s">
        <v>63</v>
      </c>
      <c r="W103" s="14">
        <f>IF(X88=1,0.15525, IF(X88=2, 0.563, IF(X88=3, 0.23, IF(X88=4, 0.129, IF(X88=5, 0.064, IF(X88=6, 0.064, IF(X88=7, 0.064, IF(X88=8, 0.064, IF(X88=9, 0.064,"")))))))))</f>
        <v>0.15525</v>
      </c>
      <c r="X103" s="3" t="str">
        <f>IF((K$8=V103),U103,"")</f>
        <v/>
      </c>
      <c r="Y103" s="3">
        <f>IFERROR(SMALL(X$103:X$104,U103),"")</f>
        <v>2</v>
      </c>
      <c r="Z103" s="3">
        <v>70</v>
      </c>
      <c r="AA103" s="3" t="b">
        <f>IF(Y$103=U103,K$10*(Z103*W103))</f>
        <v>0</v>
      </c>
      <c r="AB103" s="3" t="b">
        <f>IF(Y$103=U103,K$11*(Z103*W103))</f>
        <v>0</v>
      </c>
      <c r="AC103" s="3">
        <f>((((AA103-AB103)/1000)*12919)*0.000001)*K6</f>
        <v>0</v>
      </c>
      <c r="AD103" s="2" t="s">
        <v>64</v>
      </c>
      <c r="AE103" s="2"/>
      <c r="AF103" s="2"/>
      <c r="AG103" s="2"/>
      <c r="AH103" s="2"/>
      <c r="AI103" s="2">
        <v>1</v>
      </c>
      <c r="AJ103" s="3" t="s">
        <v>63</v>
      </c>
      <c r="AK103" s="14" t="str">
        <f>IF(AL88=1,0.15525, IF(AL88=2, 0.563, IF(AL88=3, 0.23, IF(AL88=4, 0.129, IF(AL88=5, 0.064, IF(AL88=6, 0.064, IF(AL88=7, 0.064, IF(AL88=8, 0.064, IF(AL88=9, 0.064,"")))))))))</f>
        <v/>
      </c>
      <c r="AL103" s="3" t="str">
        <f>IF((L$8=AJ103),AI103,"")</f>
        <v/>
      </c>
      <c r="AM103" s="3" t="str">
        <f>IFERROR(SMALL(AL$103:AL$104,AI103),"")</f>
        <v/>
      </c>
      <c r="AN103" s="3">
        <v>70</v>
      </c>
      <c r="AO103" s="3" t="b">
        <f>IF(AM$103=AI103,L$10*(AN103*AK103))</f>
        <v>0</v>
      </c>
      <c r="AP103" s="3" t="b">
        <f>IF(AM$103=AI103,L$11*(AN103*AK103))</f>
        <v>0</v>
      </c>
      <c r="AQ103" s="3">
        <f>((((AO103-AP103)/1000)*12919)*0.000001)*L6</f>
        <v>0</v>
      </c>
      <c r="AR103" s="2" t="s">
        <v>64</v>
      </c>
      <c r="AS103" s="2"/>
      <c r="AT103" s="2"/>
      <c r="AU103" s="2"/>
      <c r="AW103" s="2">
        <v>1</v>
      </c>
      <c r="AX103" s="3" t="s">
        <v>63</v>
      </c>
      <c r="AY103" s="14" t="str">
        <f>IF(AZ88=1,0.15525, IF(AZ88=2, 0.563, IF(AZ88=3, 0.23, IF(AZ88=4, 0.129, IF(AZ88=5, 0.064, IF(AZ88=6, 0.064, IF(AZ88=7, 0.064, IF(AZ88=8, 0.064, IF(AZ88=9, 0.064,"")))))))))</f>
        <v/>
      </c>
      <c r="AZ103" s="3" t="str">
        <f>IF((M$8=AX103),AW103,"")</f>
        <v/>
      </c>
      <c r="BA103" s="3" t="str">
        <f>IFERROR(SMALL(AZ$103:AZ$104,AW103),"")</f>
        <v/>
      </c>
      <c r="BB103" s="3">
        <v>70</v>
      </c>
      <c r="BC103" s="3" t="b">
        <f>IF(BA$103=AW103,M$10*(BB103*AY103))</f>
        <v>0</v>
      </c>
      <c r="BD103" s="3" t="b">
        <f>IF(BA$103=AW103,M$11*(BB103*AY103))</f>
        <v>0</v>
      </c>
      <c r="BE103" s="3">
        <f>((((BC103-BD103)/1000)*12919)*0.000001)*M6</f>
        <v>0</v>
      </c>
      <c r="BF103" s="2" t="s">
        <v>64</v>
      </c>
      <c r="BG103" s="2"/>
      <c r="BH103" s="2"/>
      <c r="BK103" s="2">
        <v>1</v>
      </c>
      <c r="BL103" s="3" t="s">
        <v>63</v>
      </c>
      <c r="BM103" s="14" t="str">
        <f>IF(BN88=1,0.15525, IF(BN88=2, 0.563, IF(BN88=3, 0.23, IF(BN88=4, 0.129, IF(BN88=5, 0.064, IF(BN88=6, 0.064, IF(BN88=7, 0.064, IF(BN88=8, 0.064, IF(BN88=9, 0.064,"")))))))))</f>
        <v/>
      </c>
      <c r="BN103" s="3" t="str">
        <f>IF((N$8=BL103),BK103,"")</f>
        <v/>
      </c>
      <c r="BO103" s="3" t="str">
        <f>IFERROR(SMALL(BN$103:BN$104,BK103),"")</f>
        <v/>
      </c>
      <c r="BP103" s="3">
        <v>70</v>
      </c>
      <c r="BQ103" s="3" t="b">
        <f>IF(BO$103=BK103,N$10*(BP103*BM103))</f>
        <v>0</v>
      </c>
      <c r="BR103" s="3" t="b">
        <f>IF(BO$103=BK103,N$11*(BP103*BM103))</f>
        <v>0</v>
      </c>
      <c r="BS103" s="3">
        <f>((((BQ103-BR103)/1000)*12919)*0.000001)*N6</f>
        <v>0</v>
      </c>
      <c r="BT103" s="2" t="s">
        <v>64</v>
      </c>
      <c r="BU103" s="2"/>
      <c r="BV103" s="2">
        <v>1</v>
      </c>
      <c r="BW103" s="3" t="s">
        <v>63</v>
      </c>
      <c r="BX103" s="14" t="str">
        <f>IF(BY88=1,0.15525, IF(BY88=2, 0.563, IF(BY88=3, 0.23, IF(BY88=4, 0.129, IF(BY88=5, 0.064, IF(BY88=6, 0.064, IF(BY88=7, 0.064, IF(BY88=8, 0.064, IF(BY88=9, 0.064,"")))))))))</f>
        <v/>
      </c>
      <c r="BY103" s="3" t="str">
        <f>IF((O$8=BW103),BV103,"")</f>
        <v/>
      </c>
      <c r="BZ103" s="3" t="str">
        <f>IFERROR(SMALL(BY$103:BY$104,BV103),"")</f>
        <v/>
      </c>
      <c r="CA103" s="3">
        <v>70</v>
      </c>
      <c r="CB103" s="3" t="b">
        <f>IF(BZ$103=BV103,O$10*(CA103*BX103))</f>
        <v>0</v>
      </c>
      <c r="CC103" s="3" t="b">
        <f>IF(BZ$103=BV103,O$11*(CA103*BX103))</f>
        <v>0</v>
      </c>
      <c r="CD103" s="3">
        <f>((((CB103-CC103)/1000)*12919)*0.000001)*O6</f>
        <v>0</v>
      </c>
      <c r="CE103" s="2" t="s">
        <v>64</v>
      </c>
      <c r="CF103" s="2"/>
      <c r="CG103" s="2"/>
    </row>
    <row r="104" spans="6:85">
      <c r="F104" s="2">
        <v>2</v>
      </c>
      <c r="G104" s="3" t="s">
        <v>19</v>
      </c>
      <c r="H104" s="14">
        <f>IF(I87=1,0.89437, IF(I87=2, 1.22, IF(I87=3, 1.22, IF(I87=4, 1.03, IF(I87=5, 0.831, IF(I87=6, 1.15, IF(I87=7, 0.96, IF(I87=8, 0.496, IF(I87=9, 0.248,"")))))))))</f>
        <v>1.22</v>
      </c>
      <c r="I104" s="3">
        <f>IF((J$8=G104),F104,"")</f>
        <v>2</v>
      </c>
      <c r="J104" s="3" t="str">
        <f>IFERROR(SMALL(I$103:I$104,F104),"")</f>
        <v/>
      </c>
      <c r="K104" s="3">
        <v>80</v>
      </c>
      <c r="L104" s="3">
        <f>IF(J$103=F104,J$10*(K104*H104))</f>
        <v>9760000</v>
      </c>
      <c r="M104" s="3">
        <f>IF(J$103=F104,J$11*(K104*H104))</f>
        <v>8784000</v>
      </c>
      <c r="N104" s="3">
        <f>((((L104-M104)/1000)*20787)*0.000001)*J6</f>
        <v>20.288111999999998</v>
      </c>
      <c r="O104" s="2" t="s">
        <v>64</v>
      </c>
      <c r="P104" s="2"/>
      <c r="Q104" s="2"/>
      <c r="R104" s="2"/>
      <c r="S104" s="2"/>
      <c r="U104" s="2">
        <v>2</v>
      </c>
      <c r="V104" s="3" t="s">
        <v>19</v>
      </c>
      <c r="W104" s="14">
        <f>IF(X88=1,0.89437, IF(X88=2, 1.22, IF(X88=3, 1.22, IF(X88=4, 1.03, IF(X88=5, 0.831, IF(X88=6, 1.15, IF(X88=7, 0.96, IF(X88=8, 0.496, IF(X88=9, 0.248,"")))))))))</f>
        <v>0.89437</v>
      </c>
      <c r="X104" s="3">
        <f>IF((K$8=V104),U104,"")</f>
        <v>2</v>
      </c>
      <c r="Y104" s="3" t="str">
        <f>IFERROR(SMALL(X$103:X$104,U104),"")</f>
        <v/>
      </c>
      <c r="Z104" s="3">
        <v>80</v>
      </c>
      <c r="AA104" s="3">
        <f>IF(Y$103=U104,K$10*(Z104*W104))</f>
        <v>0</v>
      </c>
      <c r="AB104" s="3">
        <f>IF(Y$103=U104,K$11*(Z104*W104))</f>
        <v>0</v>
      </c>
      <c r="AC104" s="3">
        <f>((((AA104-AB104)/1000)*20787)*0.000001)*K6</f>
        <v>0</v>
      </c>
      <c r="AD104" s="2" t="s">
        <v>64</v>
      </c>
      <c r="AE104" s="2"/>
      <c r="AF104" s="2"/>
      <c r="AG104" s="2"/>
      <c r="AH104" s="2"/>
      <c r="AI104" s="2">
        <v>2</v>
      </c>
      <c r="AJ104" s="3" t="s">
        <v>19</v>
      </c>
      <c r="AK104" s="14" t="str">
        <f>IF(AL88=1,0.89437, IF(AL88=2, 1.22, IF(AL88=3, 1.22, IF(AL88=4, 1.03, IF(AL88=5, 0.831, IF(AL88=6, 1.15, IF(AL88=7, 0.96, IF(AL88=8, 0.496, IF(AL88=9, 0.248,"")))))))))</f>
        <v/>
      </c>
      <c r="AL104" s="3" t="str">
        <f>IF((L$8=AJ104),AI104,"")</f>
        <v/>
      </c>
      <c r="AM104" s="3" t="str">
        <f>IFERROR(SMALL(AL$103:AL$104,AI104),"")</f>
        <v/>
      </c>
      <c r="AN104" s="3">
        <v>80</v>
      </c>
      <c r="AO104" s="3" t="b">
        <f>IF(AM$103=AI104,L$10*(AN104*AK104))</f>
        <v>0</v>
      </c>
      <c r="AP104" s="3" t="b">
        <f>IF(AM$103=AI104,L$11*(AN104*AK104))</f>
        <v>0</v>
      </c>
      <c r="AQ104" s="3">
        <f>((((AO104-AP104)/1000)*20787)*0.000001)*L6</f>
        <v>0</v>
      </c>
      <c r="AR104" s="2" t="s">
        <v>64</v>
      </c>
      <c r="AS104" s="2"/>
      <c r="AT104" s="2"/>
      <c r="AU104" s="2"/>
      <c r="AW104" s="2">
        <v>2</v>
      </c>
      <c r="AX104" s="3" t="s">
        <v>19</v>
      </c>
      <c r="AY104" s="14" t="str">
        <f>IF(AZ88=1,0.89437, IF(AZ88=2, 1.22, IF(AZ88=3, 1.22, IF(AZ88=4, 1.03, IF(AZ88=5, 0.831, IF(AZ88=6, 1.15, IF(AZ88=7, 0.96, IF(AZ88=8, 0.496, IF(AZ88=9, 0.248,"")))))))))</f>
        <v/>
      </c>
      <c r="AZ104" s="3" t="str">
        <f>IF((M$8=AX104),AW104,"")</f>
        <v/>
      </c>
      <c r="BA104" s="3" t="str">
        <f>IFERROR(SMALL(AZ$103:AZ$104,AW104),"")</f>
        <v/>
      </c>
      <c r="BB104" s="3">
        <v>80</v>
      </c>
      <c r="BC104" s="3" t="b">
        <f>IF(BA$103=AW104,M$10*(BB104*AY104))</f>
        <v>0</v>
      </c>
      <c r="BD104" s="3" t="b">
        <f>IF(BA$103=AW104,M$11*(BB104*AY104))</f>
        <v>0</v>
      </c>
      <c r="BE104" s="3">
        <f>((((BC104-BD104)/1000)*20787)*0.000001)*M6</f>
        <v>0</v>
      </c>
      <c r="BF104" s="2" t="s">
        <v>64</v>
      </c>
      <c r="BG104" s="2"/>
      <c r="BH104" s="2"/>
      <c r="BK104" s="2">
        <v>2</v>
      </c>
      <c r="BL104" s="3" t="s">
        <v>19</v>
      </c>
      <c r="BM104" s="14" t="str">
        <f>IF(BN88=1,0.89437, IF(BN88=2, 1.22, IF(BN88=3, 1.22, IF(BN88=4, 1.03, IF(BN88=5, 0.831, IF(BN88=6, 1.15, IF(BN88=7, 0.96, IF(BN88=8, 0.496, IF(BN88=9, 0.248,"")))))))))</f>
        <v/>
      </c>
      <c r="BN104" s="3" t="str">
        <f>IF((N$8=BL104),BK104,"")</f>
        <v/>
      </c>
      <c r="BO104" s="3" t="str">
        <f>IFERROR(SMALL(BN$103:BN$104,BK104),"")</f>
        <v/>
      </c>
      <c r="BP104" s="3">
        <v>80</v>
      </c>
      <c r="BQ104" s="3" t="b">
        <f>IF(BO$103=BK104,N$10*(BP104*BM104))</f>
        <v>0</v>
      </c>
      <c r="BR104" s="3" t="b">
        <f>IF(BO$103=BK104,N$11*(BP104*BM104))</f>
        <v>0</v>
      </c>
      <c r="BS104" s="3">
        <f>((((BQ104-BR104)/1000)*20787)*0.000001)*N6</f>
        <v>0</v>
      </c>
      <c r="BT104" s="2" t="s">
        <v>64</v>
      </c>
      <c r="BU104" s="2"/>
      <c r="BV104" s="2">
        <v>2</v>
      </c>
      <c r="BW104" s="3" t="s">
        <v>19</v>
      </c>
      <c r="BX104" s="14" t="str">
        <f>IF(BY88=1,0.89437, IF(BY88=2, 1.22, IF(BY88=3, 1.22, IF(BY88=4, 1.03, IF(BY88=5, 0.831, IF(BY88=6, 1.15, IF(BY88=7, 0.96, IF(BY88=8, 0.496, IF(BY88=9, 0.248,"")))))))))</f>
        <v/>
      </c>
      <c r="BY104" s="3" t="str">
        <f>IF((O$8=BW104),BV104,"")</f>
        <v/>
      </c>
      <c r="BZ104" s="3" t="str">
        <f>IFERROR(SMALL(BY$103:BY$104,BV104),"")</f>
        <v/>
      </c>
      <c r="CA104" s="3">
        <v>80</v>
      </c>
      <c r="CB104" s="3" t="b">
        <f>IF(BZ$103=BV104,O$10*(CA104*BX104))</f>
        <v>0</v>
      </c>
      <c r="CC104" s="3" t="b">
        <f>IF(BZ$103=BV104,O$11*(CA104*BX104))</f>
        <v>0</v>
      </c>
      <c r="CD104" s="3">
        <f>((((CB104-CC104)/1000)*20787)*0.000001)*O6</f>
        <v>0</v>
      </c>
      <c r="CE104" s="2" t="s">
        <v>64</v>
      </c>
      <c r="CF104" s="2"/>
      <c r="CG104" s="2"/>
    </row>
    <row r="105" spans="6:85">
      <c r="F105" s="2"/>
      <c r="G105" s="2"/>
      <c r="H105" s="2"/>
      <c r="I105" s="2"/>
      <c r="J105" s="2"/>
      <c r="K105" s="2"/>
      <c r="L105" s="2"/>
      <c r="M105" s="2"/>
      <c r="N105" s="2"/>
      <c r="O105" s="2"/>
      <c r="P105" s="2"/>
      <c r="Q105" s="2"/>
      <c r="R105" s="2"/>
      <c r="S105" s="2"/>
      <c r="U105" s="2"/>
      <c r="V105" s="2"/>
      <c r="W105" s="2"/>
      <c r="X105" s="2"/>
      <c r="Y105" s="2"/>
      <c r="Z105" s="2"/>
      <c r="AA105" s="2"/>
      <c r="AB105" s="2"/>
      <c r="AC105" s="2"/>
      <c r="AD105" s="2"/>
      <c r="AE105" s="2"/>
      <c r="AF105" s="2"/>
      <c r="AG105" s="2"/>
      <c r="AH105" s="2"/>
      <c r="AI105" s="2"/>
      <c r="AJ105" s="2"/>
      <c r="AK105" s="2"/>
      <c r="AL105" s="2"/>
      <c r="AM105" s="2"/>
      <c r="AN105" s="2"/>
      <c r="AO105" s="2"/>
      <c r="AP105" s="2"/>
      <c r="AQ105" s="2"/>
      <c r="AR105" s="2"/>
      <c r="AS105" s="2"/>
      <c r="AT105" s="2"/>
      <c r="AU105" s="2"/>
      <c r="AW105" s="2"/>
      <c r="AX105" s="2"/>
      <c r="AY105" s="2"/>
      <c r="AZ105" s="2"/>
      <c r="BA105" s="2"/>
      <c r="BB105" s="2"/>
      <c r="BC105" s="2"/>
      <c r="BD105" s="2"/>
      <c r="BE105" s="2"/>
      <c r="BF105" s="2"/>
      <c r="BG105" s="2"/>
      <c r="BH105" s="2"/>
      <c r="BK105" s="2"/>
      <c r="BL105" s="2"/>
      <c r="BM105" s="2"/>
      <c r="BN105" s="2"/>
      <c r="BO105" s="2"/>
      <c r="BP105" s="2"/>
      <c r="BQ105" s="2"/>
      <c r="BR105" s="2"/>
      <c r="BS105" s="2"/>
      <c r="BT105" s="2"/>
      <c r="BU105" s="2"/>
      <c r="BV105" s="2"/>
      <c r="BW105" s="2"/>
      <c r="BX105" s="2"/>
      <c r="BY105" s="2"/>
      <c r="BZ105" s="2"/>
      <c r="CA105" s="2"/>
      <c r="CB105" s="2"/>
      <c r="CC105" s="2"/>
      <c r="CD105" s="2"/>
      <c r="CE105" s="2"/>
      <c r="CF105" s="2"/>
      <c r="CG105" s="2"/>
    </row>
    <row r="106" spans="6:85">
      <c r="F106" s="2"/>
      <c r="G106" s="2"/>
      <c r="H106" s="2"/>
      <c r="I106" s="2"/>
      <c r="J106" s="2"/>
      <c r="K106" s="2"/>
      <c r="L106" s="2"/>
      <c r="M106" s="2"/>
      <c r="N106" s="2"/>
      <c r="O106" s="2"/>
      <c r="P106" s="2"/>
      <c r="Q106" s="2"/>
      <c r="R106" s="2"/>
      <c r="S106" s="2"/>
      <c r="U106" s="2"/>
      <c r="V106" s="2"/>
      <c r="W106" s="2"/>
      <c r="X106" s="2"/>
      <c r="Y106" s="2"/>
      <c r="Z106" s="2"/>
      <c r="AA106" s="2"/>
      <c r="AB106" s="2"/>
      <c r="AC106" s="2"/>
      <c r="AD106" s="2"/>
      <c r="AE106" s="2"/>
      <c r="AF106" s="2"/>
      <c r="AG106" s="2"/>
      <c r="AH106" s="2"/>
      <c r="AI106" s="2"/>
      <c r="AJ106" s="2"/>
      <c r="AK106" s="2"/>
      <c r="AL106" s="2"/>
      <c r="AM106" s="2"/>
      <c r="AN106" s="2"/>
      <c r="AO106" s="2"/>
      <c r="AP106" s="2"/>
      <c r="AQ106" s="2"/>
      <c r="AR106" s="2"/>
      <c r="AS106" s="2"/>
      <c r="AT106" s="2"/>
      <c r="AU106" s="2"/>
      <c r="AW106" s="2"/>
      <c r="AX106" s="2"/>
      <c r="AY106" s="2"/>
      <c r="AZ106" s="2"/>
      <c r="BA106" s="2"/>
      <c r="BB106" s="2"/>
      <c r="BC106" s="2"/>
      <c r="BD106" s="2"/>
      <c r="BE106" s="2"/>
      <c r="BF106" s="2"/>
      <c r="BG106" s="2"/>
      <c r="BH106" s="2"/>
      <c r="BK106" s="2"/>
      <c r="BL106" s="2"/>
      <c r="BM106" s="2"/>
      <c r="BN106" s="2"/>
      <c r="BO106" s="2"/>
      <c r="BP106" s="2"/>
      <c r="BQ106" s="2"/>
      <c r="BR106" s="2"/>
      <c r="BS106" s="2"/>
      <c r="BT106" s="2"/>
      <c r="BU106" s="2"/>
      <c r="BV106" s="2"/>
      <c r="BW106" s="2"/>
      <c r="BX106" s="2"/>
      <c r="BY106" s="2"/>
      <c r="BZ106" s="2"/>
      <c r="CA106" s="2"/>
      <c r="CB106" s="2"/>
      <c r="CC106" s="2"/>
      <c r="CD106" s="2"/>
      <c r="CE106" s="2"/>
      <c r="CF106" s="2"/>
      <c r="CG106" s="2"/>
    </row>
    <row r="107" spans="6:85">
      <c r="F107" s="2"/>
      <c r="G107" s="12" t="s">
        <v>56</v>
      </c>
      <c r="H107" s="12" t="s">
        <v>57</v>
      </c>
      <c r="I107" s="2" t="s">
        <v>58</v>
      </c>
      <c r="J107" s="2" t="s">
        <v>58</v>
      </c>
      <c r="K107" s="12" t="s">
        <v>59</v>
      </c>
      <c r="L107" s="2" t="s">
        <v>60</v>
      </c>
      <c r="M107" s="2" t="s">
        <v>61</v>
      </c>
      <c r="N107" s="2" t="s">
        <v>62</v>
      </c>
      <c r="O107" s="2"/>
      <c r="P107" s="2"/>
      <c r="Q107" s="2"/>
      <c r="R107" s="2"/>
      <c r="S107" s="2"/>
      <c r="U107" s="2"/>
      <c r="V107" s="12" t="s">
        <v>56</v>
      </c>
      <c r="W107" s="12" t="s">
        <v>57</v>
      </c>
      <c r="X107" s="2" t="s">
        <v>58</v>
      </c>
      <c r="Y107" s="2" t="s">
        <v>58</v>
      </c>
      <c r="Z107" s="12" t="s">
        <v>59</v>
      </c>
      <c r="AA107" s="2" t="s">
        <v>60</v>
      </c>
      <c r="AB107" s="2" t="s">
        <v>61</v>
      </c>
      <c r="AC107" s="2" t="s">
        <v>62</v>
      </c>
      <c r="AD107" s="2"/>
      <c r="AE107" s="2"/>
      <c r="AF107" s="2"/>
      <c r="AG107" s="2"/>
      <c r="AH107" s="2"/>
      <c r="AI107" s="2"/>
      <c r="AJ107" s="12" t="s">
        <v>56</v>
      </c>
      <c r="AK107" s="12" t="s">
        <v>57</v>
      </c>
      <c r="AL107" s="2" t="s">
        <v>58</v>
      </c>
      <c r="AM107" s="2" t="s">
        <v>58</v>
      </c>
      <c r="AN107" s="12" t="s">
        <v>59</v>
      </c>
      <c r="AO107" s="2" t="s">
        <v>60</v>
      </c>
      <c r="AP107" s="2" t="s">
        <v>61</v>
      </c>
      <c r="AQ107" s="2" t="s">
        <v>62</v>
      </c>
      <c r="AR107" s="2"/>
      <c r="AS107" s="2"/>
      <c r="AT107" s="2"/>
      <c r="AU107" s="2"/>
      <c r="AW107" s="2"/>
      <c r="AX107" s="12" t="s">
        <v>56</v>
      </c>
      <c r="AY107" s="12" t="s">
        <v>57</v>
      </c>
      <c r="AZ107" s="2" t="s">
        <v>58</v>
      </c>
      <c r="BA107" s="2" t="s">
        <v>58</v>
      </c>
      <c r="BB107" s="12" t="s">
        <v>59</v>
      </c>
      <c r="BC107" s="2" t="s">
        <v>60</v>
      </c>
      <c r="BD107" s="2" t="s">
        <v>61</v>
      </c>
      <c r="BE107" s="2" t="s">
        <v>62</v>
      </c>
      <c r="BF107" s="2"/>
      <c r="BG107" s="2"/>
      <c r="BH107" s="2"/>
      <c r="BK107" s="2"/>
      <c r="BL107" s="12" t="s">
        <v>56</v>
      </c>
      <c r="BM107" s="12" t="s">
        <v>57</v>
      </c>
      <c r="BN107" s="2" t="s">
        <v>58</v>
      </c>
      <c r="BO107" s="2" t="s">
        <v>58</v>
      </c>
      <c r="BP107" s="12" t="s">
        <v>59</v>
      </c>
      <c r="BQ107" s="2" t="s">
        <v>60</v>
      </c>
      <c r="BR107" s="2" t="s">
        <v>61</v>
      </c>
      <c r="BS107" s="2" t="s">
        <v>62</v>
      </c>
      <c r="BT107" s="2"/>
      <c r="BU107" s="2"/>
      <c r="BV107" s="2"/>
      <c r="BW107" s="12" t="s">
        <v>56</v>
      </c>
      <c r="BX107" s="12" t="s">
        <v>57</v>
      </c>
      <c r="BY107" s="2" t="s">
        <v>58</v>
      </c>
      <c r="BZ107" s="2" t="s">
        <v>58</v>
      </c>
      <c r="CA107" s="12" t="s">
        <v>59</v>
      </c>
      <c r="CB107" s="2" t="s">
        <v>60</v>
      </c>
      <c r="CC107" s="2" t="s">
        <v>61</v>
      </c>
      <c r="CD107" s="2" t="s">
        <v>62</v>
      </c>
      <c r="CE107" s="2"/>
      <c r="CF107" s="2"/>
      <c r="CG107" s="2"/>
    </row>
    <row r="108" spans="6:85">
      <c r="F108" s="2">
        <v>1</v>
      </c>
      <c r="G108" s="3" t="s">
        <v>63</v>
      </c>
      <c r="H108" s="14">
        <f>IF(I87=1, 0.03455, IF(I87=2, 0.0758, IF(I87=3, 0.091, IF(I87=4, 0.0302, IF(I87=5, 0.0302, IF(I87=6, 0.0123, IF(I87=7, 0.0123, IF(I87=8, 0.0123, IF(I87=9, 0.0123,"")))))))))</f>
        <v>7.5800000000000006E-2</v>
      </c>
      <c r="I108" s="3" t="str">
        <f>IF((J$8=G108),F108,"")</f>
        <v/>
      </c>
      <c r="J108" s="3">
        <f>IFERROR(SMALL(I$108:I$109,F108),"")</f>
        <v>2</v>
      </c>
      <c r="K108" s="3">
        <v>70</v>
      </c>
      <c r="L108" s="3" t="b">
        <f>IF(J$108=F108,J$10*(K108*H108))</f>
        <v>0</v>
      </c>
      <c r="M108" s="3" t="b">
        <f>IF(J$108=F108,J$11*(K108*H108))</f>
        <v>0</v>
      </c>
      <c r="N108" s="3">
        <f>((((L108-M108)/1000)*12919)*0.000001)*J6</f>
        <v>0</v>
      </c>
      <c r="O108" s="2" t="s">
        <v>64</v>
      </c>
      <c r="P108" s="2"/>
      <c r="Q108" s="2"/>
      <c r="R108" s="2"/>
      <c r="S108" s="2"/>
      <c r="U108" s="2">
        <v>1</v>
      </c>
      <c r="V108" s="3" t="s">
        <v>63</v>
      </c>
      <c r="W108" s="14">
        <f>IF(X88=1, 0.03455, IF(X88=2, 0.0758, IF(X88=3, 0.091, IF(X88=4, 0.0302, IF(X88=5, 0.0302, IF(X88=6, 0.0123, IF(X88=7, 0.0123, IF(X88=8, 0.0123, IF(X88=9, 0.0123,"")))))))))</f>
        <v>3.4549999999999997E-2</v>
      </c>
      <c r="X108" s="3" t="str">
        <f>IF((K$8=V108),U108,"")</f>
        <v/>
      </c>
      <c r="Y108" s="3">
        <f>IFERROR(SMALL(X$108:X$109,U108),"")</f>
        <v>2</v>
      </c>
      <c r="Z108" s="3">
        <v>70</v>
      </c>
      <c r="AA108" s="3" t="b">
        <f>IF(Y$108=U108,K$10*(Z108*W108))</f>
        <v>0</v>
      </c>
      <c r="AB108" s="3" t="b">
        <f>IF(Y$108=U108,K$11*(Z108*W108))</f>
        <v>0</v>
      </c>
      <c r="AC108" s="3">
        <f>((((AA108-AB108)/1000)*12919)*0.000001)*K6</f>
        <v>0</v>
      </c>
      <c r="AD108" s="2" t="s">
        <v>64</v>
      </c>
      <c r="AE108" s="2"/>
      <c r="AF108" s="2"/>
      <c r="AG108" s="2"/>
      <c r="AH108" s="2"/>
      <c r="AI108" s="2">
        <v>1</v>
      </c>
      <c r="AJ108" s="3" t="s">
        <v>63</v>
      </c>
      <c r="AK108" s="14" t="str">
        <f>IF(AL88=1, 0.03455, IF(AL88=2, 0.0758, IF(AL88=3, 0.091, IF(AL88=4, 0.0302, IF(AL88=5, 0.0302, IF(AL88=6, 0.0123, IF(AL88=7, 0.0123, IF(AL88=8, 0.0123, IF(AL88=9, 0.0123,"")))))))))</f>
        <v/>
      </c>
      <c r="AL108" s="3" t="str">
        <f>IF((L$8=AJ108),AI108,"")</f>
        <v/>
      </c>
      <c r="AM108" s="3" t="str">
        <f>IFERROR(SMALL(AL$108:AL$109,AI108),"")</f>
        <v/>
      </c>
      <c r="AN108" s="3">
        <v>70</v>
      </c>
      <c r="AO108" s="3" t="b">
        <f>IF(AM$108=AI108,L$10*(AN108*AK108))</f>
        <v>0</v>
      </c>
      <c r="AP108" s="3" t="b">
        <f>IF(AM$108=AI108,L$11*(AN108*AK108))</f>
        <v>0</v>
      </c>
      <c r="AQ108" s="3">
        <f>((((AO108-AP108)/1000)*12919)*0.000001)*L6</f>
        <v>0</v>
      </c>
      <c r="AR108" s="2" t="s">
        <v>64</v>
      </c>
      <c r="AS108" s="2"/>
      <c r="AT108" s="2"/>
      <c r="AU108" s="2"/>
      <c r="AW108" s="2">
        <v>1</v>
      </c>
      <c r="AX108" s="3" t="s">
        <v>63</v>
      </c>
      <c r="AY108" s="14" t="str">
        <f>IF(AZ88=1, 0.03455, IF(AZ88=2, 0.0758, IF(AZ88=3, 0.091, IF(AZ88=4, 0.0302, IF(AZ88=5, 0.0302, IF(AZ88=6, 0.0123, IF(AZ88=7, 0.0123, IF(AZ88=8, 0.0123, IF(AZ88=9, 0.0123,"")))))))))</f>
        <v/>
      </c>
      <c r="AZ108" s="3" t="str">
        <f>IF((M$8=AX108),AW108,"")</f>
        <v/>
      </c>
      <c r="BA108" s="3" t="str">
        <f>IFERROR(SMALL(AZ$108:AZ$109,AW108),"")</f>
        <v/>
      </c>
      <c r="BB108" s="3">
        <v>70</v>
      </c>
      <c r="BC108" s="3" t="b">
        <f>IF(BA$108=AW108,M$10*(BB108*AY108))</f>
        <v>0</v>
      </c>
      <c r="BD108" s="3" t="b">
        <f>IF(BA$108=AW108,M$11*(BB108*AY108))</f>
        <v>0</v>
      </c>
      <c r="BE108" s="3">
        <f>((((BC108-BD108)/1000)*12919)*0.000001)*M6</f>
        <v>0</v>
      </c>
      <c r="BF108" s="2" t="s">
        <v>64</v>
      </c>
      <c r="BG108" s="2"/>
      <c r="BH108" s="2"/>
      <c r="BK108" s="2">
        <v>1</v>
      </c>
      <c r="BL108" s="3" t="s">
        <v>63</v>
      </c>
      <c r="BM108" s="14" t="str">
        <f>IF(BN88=1, 0.03455, IF(BN88=2, 0.0758, IF(BN88=3, 0.091, IF(BN88=4, 0.0302, IF(BN88=5, 0.0302, IF(BN88=6, 0.0123, IF(BN88=7, 0.0123, IF(BN88=8, 0.0123, IF(BN88=9, 0.0123,"")))))))))</f>
        <v/>
      </c>
      <c r="BN108" s="3" t="str">
        <f>IF((N$8=BL108),BK108,"")</f>
        <v/>
      </c>
      <c r="BO108" s="3" t="str">
        <f>IFERROR(SMALL(BN$108:BN$109,BK108),"")</f>
        <v/>
      </c>
      <c r="BP108" s="3">
        <v>70</v>
      </c>
      <c r="BQ108" s="3" t="b">
        <f>IF(BO$108=BK108,N$10*(BP108*BM108))</f>
        <v>0</v>
      </c>
      <c r="BR108" s="3" t="b">
        <f>IF(BO$108=BK108,N$11*(BP108*BM108))</f>
        <v>0</v>
      </c>
      <c r="BS108" s="3">
        <f>((((BQ108-BR108)/1000)*12919)*0.000001)*N6</f>
        <v>0</v>
      </c>
      <c r="BT108" s="2" t="s">
        <v>64</v>
      </c>
      <c r="BU108" s="2"/>
      <c r="BV108" s="2">
        <v>1</v>
      </c>
      <c r="BW108" s="3" t="s">
        <v>63</v>
      </c>
      <c r="BX108" s="14" t="str">
        <f>IF(BY88=1, 0.03455, IF(BY88=2, 0.0758, IF(BY88=3, 0.091, IF(BY88=4, 0.0302, IF(BY88=5, 0.0302, IF(BY88=6, 0.0123, IF(BY88=7, 0.0123, IF(BY88=8, 0.0123, IF(BY88=9, 0.0123,"")))))))))</f>
        <v/>
      </c>
      <c r="BY108" s="3" t="str">
        <f>IF((O$8=BW108),BV108,"")</f>
        <v/>
      </c>
      <c r="BZ108" s="3" t="str">
        <f>IFERROR(SMALL(BY$108:BY$109,BV108),"")</f>
        <v/>
      </c>
      <c r="CA108" s="3">
        <v>70</v>
      </c>
      <c r="CB108" s="3" t="b">
        <f>IF(BZ$108=BV108,O$10*(CA108*BX108))</f>
        <v>0</v>
      </c>
      <c r="CC108" s="3" t="b">
        <f>IF(BZ$108=BV108,O$11*(CA108*BX108))</f>
        <v>0</v>
      </c>
      <c r="CD108" s="3">
        <f>((((CB108-CC108)/1000)*12919)*0.000001)*O6</f>
        <v>0</v>
      </c>
      <c r="CE108" s="2" t="s">
        <v>64</v>
      </c>
      <c r="CF108" s="2"/>
      <c r="CG108" s="2"/>
    </row>
    <row r="109" spans="6:85">
      <c r="F109" s="2">
        <v>2</v>
      </c>
      <c r="G109" s="3" t="s">
        <v>19</v>
      </c>
      <c r="H109" s="14">
        <f>IF(I87=1,0.00155, IF(I87=2, 0.0012, IF(I87=3, 0.0012, IF(I87=4, 0.0012, IF(I87=5, 0.0012, IF(I87=6, 0.0019, IF(I87=7, 0.0019, IF(I87=8, 0.0019, IF(I87=9, 0.0019,"")))))))))</f>
        <v>1.1999999999999999E-3</v>
      </c>
      <c r="I109" s="3">
        <f>IF((J$8=G109),F109,"")</f>
        <v>2</v>
      </c>
      <c r="J109" s="3" t="str">
        <f>IFERROR(SMALL(I$108:I$109,F109),"")</f>
        <v/>
      </c>
      <c r="K109" s="3">
        <v>80</v>
      </c>
      <c r="L109" s="3">
        <f>IF(J$108=F109,J$10*(K109*H109))</f>
        <v>9599.9999999999982</v>
      </c>
      <c r="M109" s="3">
        <f>IF(J$108=F109,J$11*(K109*H109))</f>
        <v>8639.9999999999982</v>
      </c>
      <c r="N109" s="3">
        <f>((((L109-M109)/1000)*20787)*0.000001)*J6</f>
        <v>1.9955520000000001E-2</v>
      </c>
      <c r="O109" s="2" t="s">
        <v>64</v>
      </c>
      <c r="P109" s="2"/>
      <c r="Q109" s="2"/>
      <c r="R109" s="2"/>
      <c r="S109" s="2"/>
      <c r="U109" s="2">
        <v>2</v>
      </c>
      <c r="V109" s="3" t="s">
        <v>19</v>
      </c>
      <c r="W109" s="14">
        <f>IF(X88=1,0.00155, IF(X88=2, 0.0012, IF(X88=3, 0.0012, IF(X88=4, 0.0012, IF(X88=5, 0.0012, IF(X88=6, 0.0019, IF(X88=7, 0.0019, IF(X88=8, 0.0019, IF(X88=9, 0.0019,"")))))))))</f>
        <v>1.5499999999999999E-3</v>
      </c>
      <c r="X109" s="3">
        <f>IF((K$8=V109),U109,"")</f>
        <v>2</v>
      </c>
      <c r="Y109" s="3" t="str">
        <f>IFERROR(SMALL(X$108:X$109,U109),"")</f>
        <v/>
      </c>
      <c r="Z109" s="3">
        <v>80</v>
      </c>
      <c r="AA109" s="3">
        <f>IF(Y$108=U109,K$10*(Z109*W109))</f>
        <v>0</v>
      </c>
      <c r="AB109" s="3">
        <f>IF(Y$108=U109,K$11*(Z109*W109))</f>
        <v>0</v>
      </c>
      <c r="AC109" s="3">
        <f>((((AA109-AB109)/1000)*20787)*0.000001)*K6</f>
        <v>0</v>
      </c>
      <c r="AD109" s="2" t="s">
        <v>64</v>
      </c>
      <c r="AE109" s="2"/>
      <c r="AF109" s="2"/>
      <c r="AG109" s="2"/>
      <c r="AH109" s="2"/>
      <c r="AI109" s="2">
        <v>2</v>
      </c>
      <c r="AJ109" s="3" t="s">
        <v>19</v>
      </c>
      <c r="AK109" s="14" t="str">
        <f>IF(AL88=1,0.00155, IF(AL88=2, 0.0012, IF(AL88=3, 0.0012, IF(AL88=4, 0.0012, IF(AL88=5, 0.0012, IF(AL88=6, 0.0019, IF(AL88=7, 0.0019, IF(AL88=8, 0.0019, IF(AL88=9, 0.0019,"")))))))))</f>
        <v/>
      </c>
      <c r="AL109" s="3" t="str">
        <f>IF((L$8=AJ109),AI109,"")</f>
        <v/>
      </c>
      <c r="AM109" s="3" t="str">
        <f>IFERROR(SMALL(AL$108:AL$109,AI109),"")</f>
        <v/>
      </c>
      <c r="AN109" s="3">
        <v>80</v>
      </c>
      <c r="AO109" s="3" t="b">
        <f>IF(AM$108=AI109,L$10*(AN109*AK109))</f>
        <v>0</v>
      </c>
      <c r="AP109" s="3" t="b">
        <f>IF(AM$108=AI109,L$11*(AN109*AK109))</f>
        <v>0</v>
      </c>
      <c r="AQ109" s="3">
        <f>((((AO109-AP109)/1000)*20787)*0.000001)*L6</f>
        <v>0</v>
      </c>
      <c r="AR109" s="2" t="s">
        <v>64</v>
      </c>
      <c r="AS109" s="2"/>
      <c r="AT109" s="2"/>
      <c r="AU109" s="2"/>
      <c r="AW109" s="2">
        <v>2</v>
      </c>
      <c r="AX109" s="3" t="s">
        <v>19</v>
      </c>
      <c r="AY109" s="14" t="str">
        <f>IF(AZ88=1,0.00155, IF(AZ88=2, 0.0012, IF(AZ88=3, 0.0012, IF(AZ88=4, 0.0012, IF(AZ88=5, 0.0012, IF(AZ88=6, 0.0019, IF(AZ88=7, 0.0019, IF(AZ88=8, 0.0019, IF(AZ88=9, 0.0019,"")))))))))</f>
        <v/>
      </c>
      <c r="AZ109" s="3" t="str">
        <f>IF((M$8=AX109),AW109,"")</f>
        <v/>
      </c>
      <c r="BA109" s="3" t="str">
        <f>IFERROR(SMALL(AZ$108:AZ$109,AW109),"")</f>
        <v/>
      </c>
      <c r="BB109" s="3">
        <v>80</v>
      </c>
      <c r="BC109" s="3" t="b">
        <f>IF(BA$108=AW109,M$10*(BB109*AY109))</f>
        <v>0</v>
      </c>
      <c r="BD109" s="3" t="b">
        <f>IF(BA$108=AW109,M$11*(BB109*AY109))</f>
        <v>0</v>
      </c>
      <c r="BE109" s="3">
        <f>((((BC109-BD109)/1000)*20787)*0.000001)*M6</f>
        <v>0</v>
      </c>
      <c r="BF109" s="2" t="s">
        <v>64</v>
      </c>
      <c r="BG109" s="2"/>
      <c r="BH109" s="2"/>
      <c r="BK109" s="2">
        <v>2</v>
      </c>
      <c r="BL109" s="3" t="s">
        <v>19</v>
      </c>
      <c r="BM109" s="14" t="str">
        <f>IF(BN88=1,0.00155, IF(BN88=2, 0.0012, IF(BN88=3, 0.0012, IF(BN88=4, 0.0012, IF(BN88=5, 0.0012, IF(BN88=6, 0.0019, IF(BN88=7, 0.0019, IF(BN88=8, 0.0019, IF(BN88=9, 0.0019,"")))))))))</f>
        <v/>
      </c>
      <c r="BN109" s="3" t="str">
        <f>IF((N$8=BL109),BK109,"")</f>
        <v/>
      </c>
      <c r="BO109" s="3" t="str">
        <f>IFERROR(SMALL(BN$108:BN$109,BK109),"")</f>
        <v/>
      </c>
      <c r="BP109" s="3">
        <v>80</v>
      </c>
      <c r="BQ109" s="3" t="b">
        <f>IF(BO$108=BK109,N$10*(BP109*BM109))</f>
        <v>0</v>
      </c>
      <c r="BR109" s="3" t="b">
        <f>IF(BO$108=BK109,N$11*(BP109*BM109))</f>
        <v>0</v>
      </c>
      <c r="BS109" s="3">
        <f>((((BQ109-BR109)/1000)*20787)*0.000001)*N6</f>
        <v>0</v>
      </c>
      <c r="BT109" s="2" t="s">
        <v>64</v>
      </c>
      <c r="BU109" s="2"/>
      <c r="BV109" s="2">
        <v>2</v>
      </c>
      <c r="BW109" s="3" t="s">
        <v>19</v>
      </c>
      <c r="BX109" s="14" t="str">
        <f>IF(BY88=1,0.00155, IF(BY88=2, 0.0012, IF(BY88=3, 0.0012, IF(BY88=4, 0.0012, IF(BY88=5, 0.0012, IF(BY88=6, 0.0019, IF(BY88=7, 0.0019, IF(BY88=8, 0.0019, IF(BY88=9, 0.0019,"")))))))))</f>
        <v/>
      </c>
      <c r="BY109" s="3" t="str">
        <f>IF((O$8=BW109),BV109,"")</f>
        <v/>
      </c>
      <c r="BZ109" s="3" t="str">
        <f>IFERROR(SMALL(BY$108:BY$109,BV109),"")</f>
        <v/>
      </c>
      <c r="CA109" s="3">
        <v>80</v>
      </c>
      <c r="CB109" s="3" t="b">
        <f>IF(BZ$108=BV109,O$10*(CA109*BX109))</f>
        <v>0</v>
      </c>
      <c r="CC109" s="3" t="b">
        <f>IF(BZ$108=BV109,O$11*(CA109*BX109))</f>
        <v>0</v>
      </c>
      <c r="CD109" s="3">
        <f>((((CB109-CC109)/1000)*20787)*0.000001)*O6</f>
        <v>0</v>
      </c>
      <c r="CE109" s="2" t="s">
        <v>64</v>
      </c>
      <c r="CF109" s="2"/>
      <c r="CG109" s="2"/>
    </row>
    <row r="110" spans="6:85">
      <c r="F110" s="2"/>
      <c r="G110" s="2"/>
      <c r="H110" s="2"/>
      <c r="I110" s="2"/>
      <c r="J110" s="2"/>
      <c r="K110" s="2"/>
      <c r="L110" s="2"/>
      <c r="M110" s="2"/>
      <c r="N110" s="2"/>
      <c r="O110" s="2"/>
      <c r="P110" s="2"/>
      <c r="Q110" s="2"/>
      <c r="R110" s="2"/>
      <c r="S110" s="2"/>
      <c r="U110" s="2"/>
      <c r="V110" s="2"/>
      <c r="W110" s="2"/>
      <c r="X110" s="2"/>
      <c r="Y110" s="2"/>
      <c r="Z110" s="2"/>
      <c r="AA110" s="2"/>
      <c r="AB110" s="2"/>
      <c r="AC110" s="2"/>
      <c r="AD110" s="2"/>
      <c r="AE110" s="2"/>
      <c r="AF110" s="2"/>
      <c r="AG110" s="2"/>
      <c r="AH110" s="2"/>
      <c r="AI110" s="2"/>
      <c r="AJ110" s="2"/>
      <c r="AK110" s="2"/>
      <c r="AL110" s="2"/>
      <c r="AM110" s="2"/>
      <c r="AN110" s="2"/>
      <c r="AO110" s="2"/>
      <c r="AP110" s="2"/>
      <c r="AQ110" s="2"/>
      <c r="AR110" s="2"/>
      <c r="AS110" s="2"/>
      <c r="AT110" s="2"/>
      <c r="AU110" s="2"/>
      <c r="AW110" s="2"/>
      <c r="AX110" s="2"/>
      <c r="AY110" s="2"/>
      <c r="AZ110" s="2"/>
      <c r="BA110" s="2"/>
      <c r="BB110" s="2"/>
      <c r="BC110" s="2"/>
      <c r="BD110" s="2"/>
      <c r="BE110" s="2"/>
      <c r="BF110" s="2"/>
      <c r="BG110" s="2"/>
      <c r="BH110" s="2"/>
      <c r="BK110" s="2"/>
      <c r="BL110" s="2"/>
      <c r="BM110" s="2"/>
      <c r="BN110" s="2"/>
      <c r="BO110" s="2"/>
      <c r="BP110" s="2"/>
      <c r="BQ110" s="2"/>
      <c r="BR110" s="2"/>
      <c r="BS110" s="2"/>
      <c r="BT110" s="2"/>
      <c r="BU110" s="2"/>
      <c r="BV110" s="2"/>
      <c r="BW110" s="2"/>
      <c r="BX110" s="2"/>
      <c r="BY110" s="2"/>
      <c r="BZ110" s="2"/>
      <c r="CA110" s="2"/>
      <c r="CB110" s="2"/>
      <c r="CC110" s="2"/>
      <c r="CD110" s="2"/>
      <c r="CE110" s="2"/>
      <c r="CF110" s="2"/>
      <c r="CG110" s="2"/>
    </row>
    <row r="111" spans="6:85">
      <c r="F111" s="2"/>
      <c r="G111" s="12" t="s">
        <v>56</v>
      </c>
      <c r="H111" s="12" t="s">
        <v>71</v>
      </c>
      <c r="I111" s="2" t="s">
        <v>58</v>
      </c>
      <c r="J111" s="2" t="s">
        <v>58</v>
      </c>
      <c r="K111" s="12" t="s">
        <v>59</v>
      </c>
      <c r="L111" s="2" t="s">
        <v>60</v>
      </c>
      <c r="M111" s="2" t="s">
        <v>61</v>
      </c>
      <c r="N111" s="2" t="s">
        <v>62</v>
      </c>
      <c r="O111" s="2"/>
      <c r="P111" s="2"/>
      <c r="Q111" s="2"/>
      <c r="R111" s="2"/>
      <c r="S111" s="2"/>
      <c r="U111" s="2"/>
      <c r="V111" s="12" t="s">
        <v>56</v>
      </c>
      <c r="W111" s="12" t="s">
        <v>71</v>
      </c>
      <c r="X111" s="2" t="s">
        <v>58</v>
      </c>
      <c r="Y111" s="2" t="s">
        <v>58</v>
      </c>
      <c r="Z111" s="12" t="s">
        <v>59</v>
      </c>
      <c r="AA111" s="2" t="s">
        <v>60</v>
      </c>
      <c r="AB111" s="2" t="s">
        <v>61</v>
      </c>
      <c r="AC111" s="2" t="s">
        <v>62</v>
      </c>
      <c r="AD111" s="2"/>
      <c r="AE111" s="2"/>
      <c r="AF111" s="2"/>
      <c r="AG111" s="2"/>
      <c r="AH111" s="2"/>
      <c r="AI111" s="2"/>
      <c r="AJ111" s="12" t="s">
        <v>56</v>
      </c>
      <c r="AK111" s="12" t="s">
        <v>71</v>
      </c>
      <c r="AL111" s="2" t="s">
        <v>58</v>
      </c>
      <c r="AM111" s="2" t="s">
        <v>58</v>
      </c>
      <c r="AN111" s="12" t="s">
        <v>59</v>
      </c>
      <c r="AO111" s="2" t="s">
        <v>60</v>
      </c>
      <c r="AP111" s="2" t="s">
        <v>61</v>
      </c>
      <c r="AQ111" s="2" t="s">
        <v>62</v>
      </c>
      <c r="AR111" s="2"/>
      <c r="AS111" s="2"/>
      <c r="AT111" s="2"/>
      <c r="AU111" s="2"/>
      <c r="AW111" s="2"/>
      <c r="AX111" s="12" t="s">
        <v>56</v>
      </c>
      <c r="AY111" s="12" t="s">
        <v>71</v>
      </c>
      <c r="AZ111" s="2" t="s">
        <v>58</v>
      </c>
      <c r="BA111" s="2" t="s">
        <v>58</v>
      </c>
      <c r="BB111" s="12" t="s">
        <v>59</v>
      </c>
      <c r="BC111" s="2" t="s">
        <v>60</v>
      </c>
      <c r="BD111" s="2" t="s">
        <v>61</v>
      </c>
      <c r="BE111" s="2" t="s">
        <v>62</v>
      </c>
      <c r="BF111" s="2"/>
      <c r="BG111" s="2"/>
      <c r="BH111" s="2"/>
      <c r="BK111" s="2"/>
      <c r="BL111" s="12" t="s">
        <v>56</v>
      </c>
      <c r="BM111" s="12" t="s">
        <v>71</v>
      </c>
      <c r="BN111" s="2" t="s">
        <v>58</v>
      </c>
      <c r="BO111" s="2" t="s">
        <v>58</v>
      </c>
      <c r="BP111" s="12" t="s">
        <v>59</v>
      </c>
      <c r="BQ111" s="2" t="s">
        <v>60</v>
      </c>
      <c r="BR111" s="2" t="s">
        <v>61</v>
      </c>
      <c r="BS111" s="2" t="s">
        <v>62</v>
      </c>
      <c r="BT111" s="2"/>
      <c r="BU111" s="2"/>
      <c r="BV111" s="2"/>
      <c r="BW111" s="12" t="s">
        <v>56</v>
      </c>
      <c r="BX111" s="12" t="s">
        <v>71</v>
      </c>
      <c r="BY111" s="2" t="s">
        <v>58</v>
      </c>
      <c r="BZ111" s="2" t="s">
        <v>58</v>
      </c>
      <c r="CA111" s="12" t="s">
        <v>59</v>
      </c>
      <c r="CB111" s="2" t="s">
        <v>60</v>
      </c>
      <c r="CC111" s="2" t="s">
        <v>61</v>
      </c>
      <c r="CD111" s="2" t="s">
        <v>62</v>
      </c>
      <c r="CE111" s="2"/>
      <c r="CF111" s="2"/>
      <c r="CG111" s="2"/>
    </row>
    <row r="112" spans="6:85">
      <c r="F112" s="2">
        <v>1</v>
      </c>
      <c r="G112" s="3" t="s">
        <v>63</v>
      </c>
      <c r="H112" s="14">
        <f>IF(I87=1,0.001475, IF(I87=2, 0.0023, IF(I87=3, 0.0023, IF(I87=4, 0.0011, IF(I87=5, 0.0011, IF(I87=6, 0.0014, IF(I87=7, 0.0012, IF(I87=8,0.0012, IF(I87=9, 0.0012,"")))))))))</f>
        <v>2.3E-3</v>
      </c>
      <c r="I112" s="3" t="str">
        <f>IF((J$8=G112),F112,"")</f>
        <v/>
      </c>
      <c r="J112" s="3">
        <f>IFERROR(SMALL(I$112:I$113,F112),"")</f>
        <v>2</v>
      </c>
      <c r="K112" s="3">
        <v>70</v>
      </c>
      <c r="L112" s="3" t="b">
        <f>IF(J$112=F112,J$10*(K112*H112))</f>
        <v>0</v>
      </c>
      <c r="M112" s="3" t="b">
        <f>IF(J$112=F112,J$11*(K112*H112))</f>
        <v>0</v>
      </c>
      <c r="N112" s="3">
        <f>((((L112-M112)/1000)*12919)*0.000001)*J6</f>
        <v>0</v>
      </c>
      <c r="O112" s="2" t="s">
        <v>64</v>
      </c>
      <c r="P112" s="2"/>
      <c r="Q112" s="2"/>
      <c r="R112" s="2"/>
      <c r="S112" s="2"/>
      <c r="U112" s="2">
        <v>1</v>
      </c>
      <c r="V112" s="3" t="s">
        <v>63</v>
      </c>
      <c r="W112" s="14">
        <f>IF(X88=1,0.001475, IF(X88=2, 0.0023, IF(X88=3, 0.0023, IF(X88=4, 0.0011, IF(X88=5, 0.0011, IF(X88=6, 0.0014, IF(X88=7, 0.0012, IF(X88=8,0.0012, IF(X88=9, 0.0012,"")))))))))</f>
        <v>1.475E-3</v>
      </c>
      <c r="X112" s="3" t="str">
        <f>IF((K$8=V112),U112,"")</f>
        <v/>
      </c>
      <c r="Y112" s="3">
        <f>IFERROR(SMALL(X$112:X$113,U112),"")</f>
        <v>2</v>
      </c>
      <c r="Z112" s="3">
        <v>70</v>
      </c>
      <c r="AA112" s="3" t="b">
        <f>IF(Y$112=U112,K$10*(Z112*W112))</f>
        <v>0</v>
      </c>
      <c r="AB112" s="3" t="b">
        <f>IF(Y$112=U112,K$11*(Z112*W112))</f>
        <v>0</v>
      </c>
      <c r="AC112" s="3">
        <f>((((AA112-AB112)/1000)*12919)*0.000001)*K6</f>
        <v>0</v>
      </c>
      <c r="AD112" s="2" t="s">
        <v>64</v>
      </c>
      <c r="AE112" s="2"/>
      <c r="AF112" s="2"/>
      <c r="AG112" s="2"/>
      <c r="AH112" s="2"/>
      <c r="AI112" s="2">
        <v>1</v>
      </c>
      <c r="AJ112" s="3" t="s">
        <v>63</v>
      </c>
      <c r="AK112" s="14" t="str">
        <f>IF(AL88=1,0.001475, IF(AL88=2, 0.0023, IF(AL88=3, 0.0023, IF(AL88=4, 0.0011, IF(AL88=5, 0.0011, IF(AL88=6, 0.0014, IF(AL88=7, 0.0012, IF(AL88=8,0.0012, IF(AL88=9, 0.0012,"")))))))))</f>
        <v/>
      </c>
      <c r="AL112" s="3" t="str">
        <f>IF((L$8=AJ112),AI112,"")</f>
        <v/>
      </c>
      <c r="AM112" s="3" t="str">
        <f>IFERROR(SMALL(AL$112:AL$113,AI112),"")</f>
        <v/>
      </c>
      <c r="AN112" s="3">
        <v>70</v>
      </c>
      <c r="AO112" s="3" t="b">
        <f>IF(AM$112=AI112,L$10*(AN112*AK112))</f>
        <v>0</v>
      </c>
      <c r="AP112" s="3" t="b">
        <f>IF(AM$112=AI112,L$11*(AN112*AK112))</f>
        <v>0</v>
      </c>
      <c r="AQ112" s="3">
        <f>((((AO112-AP112)/1000)*12919)*0.000001)*L6</f>
        <v>0</v>
      </c>
      <c r="AR112" s="2" t="s">
        <v>64</v>
      </c>
      <c r="AS112" s="2"/>
      <c r="AT112" s="2"/>
      <c r="AU112" s="2"/>
      <c r="AW112" s="2">
        <v>1</v>
      </c>
      <c r="AX112" s="3" t="s">
        <v>63</v>
      </c>
      <c r="AY112" s="14" t="str">
        <f>IF(AZ88=1,0.001475, IF(AZ88=2, 0.0023, IF(AZ88=3, 0.0023, IF(AZ88=4, 0.0011, IF(AZ88=5, 0.0011, IF(AZ88=6, 0.0014, IF(AZ88=7, 0.0012, IF(AZ88=8,0.0012, IF(AZ88=9, 0.0012,"")))))))))</f>
        <v/>
      </c>
      <c r="AZ112" s="3" t="str">
        <f>IF((M$8=AX112),AW112,"")</f>
        <v/>
      </c>
      <c r="BA112" s="3" t="str">
        <f>IFERROR(SMALL(AZ$112:AZ$113,AW112),"")</f>
        <v/>
      </c>
      <c r="BB112" s="3">
        <v>70</v>
      </c>
      <c r="BC112" s="3" t="b">
        <f>IF(BA$112=AW112,M$10*(BB112*AY112))</f>
        <v>0</v>
      </c>
      <c r="BD112" s="3" t="b">
        <f>IF(BA$112=AW112,M$11*(BB112*AY112))</f>
        <v>0</v>
      </c>
      <c r="BE112" s="3">
        <f>((((BC112-BD112)/1000)*12919)*0.000001)*M6</f>
        <v>0</v>
      </c>
      <c r="BF112" s="2" t="s">
        <v>64</v>
      </c>
      <c r="BG112" s="2"/>
      <c r="BH112" s="2"/>
      <c r="BK112" s="2">
        <v>1</v>
      </c>
      <c r="BL112" s="3" t="s">
        <v>63</v>
      </c>
      <c r="BM112" s="14" t="str">
        <f>IF(BN88=1,0.001475, IF(BN88=2, 0.0023, IF(BN88=3, 0.0023, IF(BN88=4, 0.0011, IF(BN88=5, 0.0011, IF(BN88=6, 0.0014, IF(BN88=7, 0.0012, IF(BN88=8,0.0012, IF(BN88=9, 0.0012,"")))))))))</f>
        <v/>
      </c>
      <c r="BN112" s="3" t="str">
        <f>IF((N$8=BL112),BK112,"")</f>
        <v/>
      </c>
      <c r="BO112" s="3" t="str">
        <f>IFERROR(SMALL(BN$112:BN$113,BK112),"")</f>
        <v/>
      </c>
      <c r="BP112" s="3">
        <v>70</v>
      </c>
      <c r="BQ112" s="3" t="b">
        <f>IF(BO$112=BK112,N$10*(BP112*BM112))</f>
        <v>0</v>
      </c>
      <c r="BR112" s="3" t="b">
        <f>IF(BO$112=BK112,N$11*(BP112*BM112))</f>
        <v>0</v>
      </c>
      <c r="BS112" s="3">
        <f>((((BQ112-BR112)/1000)*12919)*0.000001)*N6</f>
        <v>0</v>
      </c>
      <c r="BT112" s="2" t="s">
        <v>64</v>
      </c>
      <c r="BU112" s="2"/>
      <c r="BV112" s="2">
        <v>1</v>
      </c>
      <c r="BW112" s="3" t="s">
        <v>63</v>
      </c>
      <c r="BX112" s="14" t="str">
        <f>IF(BY88=1,0.001475, IF(BY88=2, 0.0023, IF(BY88=3, 0.0023, IF(BY88=4, 0.0011, IF(BY88=5, 0.0011, IF(BY88=6, 0.0014, IF(BY88=7, 0.0012, IF(BY88=8,0.0012, IF(BY88=9, 0.0012,"")))))))))</f>
        <v/>
      </c>
      <c r="BY112" s="3" t="str">
        <f>IF((O$8=BW112),BV112,"")</f>
        <v/>
      </c>
      <c r="BZ112" s="3" t="str">
        <f>IFERROR(SMALL(BY$112:BY$113,BV112),"")</f>
        <v/>
      </c>
      <c r="CA112" s="3">
        <v>70</v>
      </c>
      <c r="CB112" s="3" t="b">
        <f>IF(BZ$112=BV112,O$10*(CA112*BX112))</f>
        <v>0</v>
      </c>
      <c r="CC112" s="3" t="b">
        <f>IF(BZ$112=BV112,O$11*(CA112*BX112))</f>
        <v>0</v>
      </c>
      <c r="CD112" s="3">
        <f>((((CB112-CC112)/1000)*12919)*0.000001)*O6</f>
        <v>0</v>
      </c>
      <c r="CE112" s="2" t="s">
        <v>64</v>
      </c>
      <c r="CF112" s="2"/>
      <c r="CG112" s="2"/>
    </row>
    <row r="113" spans="6:85">
      <c r="F113" s="2">
        <v>2</v>
      </c>
      <c r="G113" s="3" t="s">
        <v>19</v>
      </c>
      <c r="H113" s="14">
        <f>IF(I87=1, 0.04461, IF(I87=2, 0.117, IF(I87=3, 0.117, IF(I87=4, 0.0783, IF(I87=5, 0.0409, IF(I87=6, 0.001, IF(I87=7, 0.0009, IF(I87=8, 0.0009, IF(I87=9, 0.0009,"")))))))))</f>
        <v>0.11700000000000001</v>
      </c>
      <c r="I113" s="3">
        <f>IF((J$8=G113),F113,"")</f>
        <v>2</v>
      </c>
      <c r="J113" s="3" t="str">
        <f>IFERROR(SMALL(I$112:I$113,F113),"")</f>
        <v/>
      </c>
      <c r="K113" s="3">
        <v>80</v>
      </c>
      <c r="L113" s="3">
        <f>IF(J$112=F113,J$10*(K113*H113))</f>
        <v>936000.00000000012</v>
      </c>
      <c r="M113" s="3">
        <f>IF(J$112=F113,J$11*(K113*H113))</f>
        <v>842400.00000000012</v>
      </c>
      <c r="N113" s="3">
        <f>((((L113-M113)/1000)*20787)*0.000001)*J6</f>
        <v>1.9456631999999998</v>
      </c>
      <c r="O113" s="2" t="s">
        <v>64</v>
      </c>
      <c r="P113" s="2"/>
      <c r="Q113" s="2"/>
      <c r="R113" s="2"/>
      <c r="S113" s="2"/>
      <c r="U113" s="2">
        <v>2</v>
      </c>
      <c r="V113" s="3" t="s">
        <v>19</v>
      </c>
      <c r="W113" s="14">
        <f>IF(X88=1, 0.04461, IF(X88=2, 0.117, IF(X88=3, 0.117, IF(X88=4, 0.0783, IF(X88=5, 0.0409, IF(X88=6, 0.001, IF(X88=7, 0.0009, IF(X88=8, 0.0009, IF(X88=9, 0.0009,"")))))))))</f>
        <v>4.4609999999999997E-2</v>
      </c>
      <c r="X113" s="3">
        <f>IF((K$8=V113),U113,"")</f>
        <v>2</v>
      </c>
      <c r="Y113" s="3" t="str">
        <f>IFERROR(SMALL(X$112:X$113,U113),"")</f>
        <v/>
      </c>
      <c r="Z113" s="3">
        <v>80</v>
      </c>
      <c r="AA113" s="3">
        <f>IF(Y$112=U113,K$10*(Z113*W113))</f>
        <v>0</v>
      </c>
      <c r="AB113" s="3">
        <f>IF(Y$112=U113,K$11*(Z113*W113))</f>
        <v>0</v>
      </c>
      <c r="AC113" s="3">
        <f>((((AA113-AB113)/1000)*20787)*0.000001)*K6</f>
        <v>0</v>
      </c>
      <c r="AD113" s="2" t="s">
        <v>64</v>
      </c>
      <c r="AE113" s="2"/>
      <c r="AF113" s="2"/>
      <c r="AG113" s="2"/>
      <c r="AH113" s="2"/>
      <c r="AI113" s="2">
        <v>2</v>
      </c>
      <c r="AJ113" s="3" t="s">
        <v>19</v>
      </c>
      <c r="AK113" s="14" t="str">
        <f>IF(AL88=1, 0.04461, IF(AL88=2, 0.117, IF(AL88=3, 0.117, IF(AL88=4, 0.0783, IF(AL88=5, 0.0409, IF(AL88=6, 0.001, IF(AL88=7, 0.0009, IF(AL88=8, 0.0009, IF(AL88=9, 0.0009,"")))))))))</f>
        <v/>
      </c>
      <c r="AL113" s="3" t="str">
        <f>IF((L$8=AJ113),AI113,"")</f>
        <v/>
      </c>
      <c r="AM113" s="3" t="str">
        <f>IFERROR(SMALL(AL$112:AL$113,AI113),"")</f>
        <v/>
      </c>
      <c r="AN113" s="3">
        <v>80</v>
      </c>
      <c r="AO113" s="3" t="b">
        <f>IF(AM$112=AI113,L$10*(AN113*AK113))</f>
        <v>0</v>
      </c>
      <c r="AP113" s="3" t="b">
        <f>IF(AM$112=AI113,L$11*(AN113*AK113))</f>
        <v>0</v>
      </c>
      <c r="AQ113" s="3">
        <f>((((AO113-AP113)/1000)*20787)*0.000001)*L6</f>
        <v>0</v>
      </c>
      <c r="AR113" s="2" t="s">
        <v>64</v>
      </c>
      <c r="AS113" s="2"/>
      <c r="AT113" s="2"/>
      <c r="AU113" s="2"/>
      <c r="AW113" s="2">
        <v>2</v>
      </c>
      <c r="AX113" s="3" t="s">
        <v>19</v>
      </c>
      <c r="AY113" s="14" t="str">
        <f>IF(AZ88=1, 0.04461, IF(AZ88=2, 0.117, IF(AZ88=3, 0.117, IF(AZ88=4, 0.0783, IF(AZ88=5, 0.0409, IF(AZ88=6, 0.001, IF(AZ88=7, 0.0009, IF(AZ88=8, 0.0009, IF(AZ88=9, 0.0009,"")))))))))</f>
        <v/>
      </c>
      <c r="AZ113" s="3" t="str">
        <f>IF((M$8=AX113),AW113,"")</f>
        <v/>
      </c>
      <c r="BA113" s="3" t="str">
        <f>IFERROR(SMALL(AZ$112:AZ$113,AW113),"")</f>
        <v/>
      </c>
      <c r="BB113" s="3">
        <v>80</v>
      </c>
      <c r="BC113" s="3" t="b">
        <f>IF(BA$112=AW113,M$10*(BB113*AY113))</f>
        <v>0</v>
      </c>
      <c r="BD113" s="3" t="b">
        <f>IF(BA$112=AW113,M$11*(BB113*AY113))</f>
        <v>0</v>
      </c>
      <c r="BE113" s="3">
        <f>((((BC113-BD113)/1000)*20787)*0.000001)*M6</f>
        <v>0</v>
      </c>
      <c r="BF113" s="2" t="s">
        <v>64</v>
      </c>
      <c r="BG113" s="2"/>
      <c r="BH113" s="2"/>
      <c r="BK113" s="2">
        <v>2</v>
      </c>
      <c r="BL113" s="3" t="s">
        <v>19</v>
      </c>
      <c r="BM113" s="14" t="str">
        <f>IF(BN88=1, 0.04461, IF(BN88=2, 0.117, IF(BN88=3, 0.117, IF(BN88=4, 0.0783, IF(BN88=5, 0.0409, IF(BN88=6, 0.001, IF(BN88=7, 0.0009, IF(BN88=8, 0.0009, IF(BN88=9, 0.0009,"")))))))))</f>
        <v/>
      </c>
      <c r="BN113" s="3" t="str">
        <f>IF((N$8=BL113),BK113,"")</f>
        <v/>
      </c>
      <c r="BO113" s="3" t="str">
        <f>IFERROR(SMALL(BN$112:BN$113,BK113),"")</f>
        <v/>
      </c>
      <c r="BP113" s="3">
        <v>80</v>
      </c>
      <c r="BQ113" s="3" t="b">
        <f>IF(BO$112=BK113,N$10*(BP113*BM113))</f>
        <v>0</v>
      </c>
      <c r="BR113" s="3" t="b">
        <f>IF(BO$112=BK113,N$11*(BP113*BM113))</f>
        <v>0</v>
      </c>
      <c r="BS113" s="3">
        <f>((((BQ113-BR113)/1000)*20787)*0.000001)*N6</f>
        <v>0</v>
      </c>
      <c r="BT113" s="2" t="s">
        <v>64</v>
      </c>
      <c r="BU113" s="2"/>
      <c r="BV113" s="2">
        <v>2</v>
      </c>
      <c r="BW113" s="3" t="s">
        <v>19</v>
      </c>
      <c r="BX113" s="14" t="str">
        <f>IF(BY88=1, 0.04461, IF(BY88=2, 0.117, IF(BY88=3, 0.117, IF(BY88=4, 0.0783, IF(BY88=5, 0.0409, IF(BY88=6, 0.001, IF(BY88=7, 0.0009, IF(BY88=8, 0.0009, IF(BY88=9, 0.0009,"")))))))))</f>
        <v/>
      </c>
      <c r="BY113" s="3" t="str">
        <f>IF((O$8=BW113),BV113,"")</f>
        <v/>
      </c>
      <c r="BZ113" s="3" t="str">
        <f>IFERROR(SMALL(BY$112:BY$113,BV113),"")</f>
        <v/>
      </c>
      <c r="CA113" s="3">
        <v>80</v>
      </c>
      <c r="CB113" s="3" t="b">
        <f>IF(BZ$112=BV113,O$10*(CA113*BX113))</f>
        <v>0</v>
      </c>
      <c r="CC113" s="3" t="b">
        <f>IF(BZ$112=BV113,O$11*(CA113*BX113))</f>
        <v>0</v>
      </c>
      <c r="CD113" s="3">
        <f>((((CB113-CC113)/1000)*20787)*0.000001)*O6</f>
        <v>0</v>
      </c>
      <c r="CE113" s="2" t="s">
        <v>64</v>
      </c>
      <c r="CF113" s="2"/>
      <c r="CG113" s="2"/>
    </row>
    <row r="114" spans="6:85">
      <c r="F114" s="2"/>
      <c r="G114" s="2"/>
      <c r="H114" s="2"/>
      <c r="I114" s="2"/>
      <c r="J114" s="2"/>
      <c r="K114" s="2"/>
      <c r="L114" s="2"/>
      <c r="M114" s="2"/>
      <c r="N114" s="2"/>
      <c r="O114" s="2"/>
      <c r="P114" s="2"/>
      <c r="Q114" s="2"/>
      <c r="R114" s="2"/>
      <c r="S114" s="2"/>
      <c r="U114" s="2"/>
      <c r="V114" s="2"/>
      <c r="W114" s="2"/>
      <c r="X114" s="2"/>
      <c r="Y114" s="2"/>
      <c r="Z114" s="2"/>
      <c r="AA114" s="2"/>
      <c r="AB114" s="2"/>
      <c r="AC114" s="2"/>
      <c r="AD114" s="2"/>
      <c r="AE114" s="2"/>
      <c r="AF114" s="2"/>
      <c r="AG114" s="2"/>
      <c r="AH114" s="2"/>
      <c r="AI114" s="2"/>
      <c r="AJ114" s="2"/>
      <c r="AK114" s="2"/>
      <c r="AL114" s="2"/>
      <c r="AM114" s="2"/>
      <c r="AN114" s="2"/>
      <c r="AO114" s="2"/>
      <c r="AP114" s="2"/>
      <c r="AQ114" s="2"/>
      <c r="AR114" s="2"/>
      <c r="AS114" s="2"/>
      <c r="AT114" s="2"/>
      <c r="AU114" s="2"/>
      <c r="AW114" s="2"/>
      <c r="AX114" s="2"/>
      <c r="AY114" s="2"/>
      <c r="AZ114" s="2"/>
      <c r="BA114" s="2"/>
      <c r="BB114" s="2"/>
      <c r="BC114" s="2"/>
      <c r="BD114" s="2"/>
      <c r="BE114" s="2"/>
      <c r="BF114" s="2"/>
      <c r="BG114" s="2"/>
      <c r="BH114" s="2"/>
      <c r="BK114" s="2"/>
      <c r="BL114" s="2"/>
      <c r="BM114" s="2"/>
      <c r="BN114" s="2"/>
      <c r="BO114" s="2"/>
      <c r="BP114" s="2"/>
      <c r="BQ114" s="2"/>
      <c r="BR114" s="2"/>
      <c r="BS114" s="2"/>
      <c r="BT114" s="2"/>
      <c r="BU114" s="2"/>
      <c r="BV114" s="2"/>
      <c r="BW114" s="2"/>
      <c r="BX114" s="2"/>
      <c r="BY114" s="2"/>
      <c r="BZ114" s="2"/>
      <c r="CA114" s="2"/>
      <c r="CB114" s="2"/>
      <c r="CC114" s="2"/>
      <c r="CD114" s="2"/>
      <c r="CE114" s="2"/>
      <c r="CF114" s="2"/>
      <c r="CG114" s="2"/>
    </row>
    <row r="115" spans="6:85">
      <c r="F115" s="2"/>
      <c r="G115" s="2"/>
      <c r="H115" s="2"/>
      <c r="I115" s="2"/>
      <c r="J115" s="2"/>
      <c r="K115" s="2"/>
      <c r="L115" s="2"/>
      <c r="M115" s="2"/>
      <c r="N115" s="2"/>
      <c r="O115" s="2"/>
      <c r="P115" s="2"/>
      <c r="Q115" s="2"/>
      <c r="R115" s="2"/>
      <c r="S115" s="2"/>
      <c r="U115" s="2"/>
      <c r="V115" s="2"/>
      <c r="W115" s="2"/>
      <c r="X115" s="2"/>
      <c r="Y115" s="2"/>
      <c r="Z115" s="2"/>
      <c r="AA115" s="2"/>
      <c r="AB115" s="2"/>
      <c r="AC115" s="2"/>
      <c r="AD115" s="2"/>
      <c r="AE115" s="2"/>
      <c r="AF115" s="2"/>
      <c r="AG115" s="2"/>
      <c r="AH115" s="2"/>
      <c r="AI115" s="2"/>
      <c r="AJ115" s="2"/>
      <c r="AK115" s="2"/>
      <c r="AL115" s="2"/>
      <c r="AM115" s="2"/>
      <c r="AN115" s="2"/>
      <c r="AO115" s="2"/>
      <c r="AP115" s="2"/>
      <c r="AQ115" s="2"/>
      <c r="AR115" s="2"/>
      <c r="AS115" s="2"/>
      <c r="AT115" s="2"/>
      <c r="AU115" s="2"/>
      <c r="AW115" s="2"/>
      <c r="AX115" s="2"/>
      <c r="AY115" s="2"/>
      <c r="AZ115" s="2"/>
      <c r="BA115" s="2"/>
      <c r="BB115" s="2"/>
      <c r="BC115" s="2"/>
      <c r="BD115" s="2"/>
      <c r="BE115" s="2"/>
      <c r="BF115" s="2"/>
      <c r="BG115" s="2"/>
      <c r="BH115" s="2"/>
      <c r="BK115" s="2"/>
      <c r="BL115" s="2"/>
      <c r="BM115" s="2"/>
      <c r="BN115" s="2"/>
      <c r="BO115" s="2"/>
      <c r="BP115" s="2"/>
      <c r="BQ115" s="2"/>
      <c r="BR115" s="2"/>
      <c r="BS115" s="2"/>
      <c r="BT115" s="2"/>
      <c r="BU115" s="2"/>
      <c r="BV115" s="2"/>
      <c r="BW115" s="2"/>
      <c r="BX115" s="2"/>
      <c r="BY115" s="2"/>
      <c r="BZ115" s="2"/>
      <c r="CA115" s="2"/>
      <c r="CB115" s="2"/>
      <c r="CC115" s="2"/>
      <c r="CD115" s="2"/>
      <c r="CE115" s="2"/>
      <c r="CF115" s="2"/>
      <c r="CG115" s="2"/>
    </row>
    <row r="116" spans="6:85">
      <c r="F116" s="2"/>
      <c r="G116" s="16" t="s">
        <v>73</v>
      </c>
      <c r="H116" s="2"/>
      <c r="I116" s="2"/>
      <c r="J116" s="2"/>
      <c r="K116" s="2"/>
      <c r="L116" s="2"/>
      <c r="M116" s="2"/>
      <c r="N116" s="2"/>
      <c r="O116" s="2"/>
      <c r="P116" s="2"/>
      <c r="Q116" s="2"/>
      <c r="R116" s="2"/>
      <c r="S116" s="2"/>
      <c r="U116" s="2"/>
      <c r="V116" s="2" t="s">
        <v>73</v>
      </c>
      <c r="W116" s="2"/>
      <c r="X116" s="2"/>
      <c r="Y116" s="2"/>
      <c r="Z116" s="2"/>
      <c r="AA116" s="2"/>
      <c r="AB116" s="2"/>
      <c r="AC116" s="2"/>
      <c r="AD116" s="2"/>
      <c r="AE116" s="2"/>
      <c r="AF116" s="2"/>
      <c r="AG116" s="2"/>
      <c r="AH116" s="2"/>
      <c r="AI116" s="2"/>
      <c r="AJ116" s="2" t="s">
        <v>73</v>
      </c>
      <c r="AK116" s="2"/>
      <c r="AL116" s="2"/>
      <c r="AM116" s="2"/>
      <c r="AN116" s="2"/>
      <c r="AO116" s="2"/>
      <c r="AP116" s="2"/>
      <c r="AQ116" s="2"/>
      <c r="AR116" s="2"/>
      <c r="AS116" s="2"/>
      <c r="AT116" s="2"/>
      <c r="AU116" s="2"/>
      <c r="AW116" s="2"/>
      <c r="AX116" s="2" t="s">
        <v>73</v>
      </c>
      <c r="AY116" s="2"/>
      <c r="AZ116" s="2"/>
      <c r="BA116" s="2"/>
      <c r="BB116" s="2"/>
      <c r="BC116" s="2"/>
      <c r="BD116" s="2"/>
      <c r="BE116" s="2"/>
      <c r="BF116" s="2"/>
      <c r="BG116" s="2"/>
      <c r="BH116" s="2"/>
      <c r="BK116" s="2"/>
      <c r="BL116" s="2" t="s">
        <v>73</v>
      </c>
      <c r="BM116" s="2"/>
      <c r="BN116" s="2"/>
      <c r="BO116" s="2"/>
      <c r="BP116" s="2"/>
      <c r="BQ116" s="2"/>
      <c r="BR116" s="2"/>
      <c r="BS116" s="2"/>
      <c r="BT116" s="2"/>
      <c r="BU116" s="2"/>
      <c r="BV116" s="2"/>
      <c r="BW116" s="2" t="s">
        <v>73</v>
      </c>
      <c r="BX116" s="2"/>
      <c r="BY116" s="2"/>
      <c r="BZ116" s="2"/>
      <c r="CA116" s="2"/>
      <c r="CB116" s="2"/>
      <c r="CC116" s="2"/>
      <c r="CD116" s="2"/>
      <c r="CE116" s="2"/>
      <c r="CF116" s="2"/>
      <c r="CG116" s="2"/>
    </row>
    <row r="117" spans="6:85">
      <c r="F117" s="2"/>
      <c r="H117" s="2" t="s">
        <v>40</v>
      </c>
      <c r="I117" s="57" t="s">
        <v>40</v>
      </c>
      <c r="J117" s="2" t="s">
        <v>74</v>
      </c>
      <c r="K117" s="2"/>
      <c r="L117" s="2"/>
      <c r="M117" s="2" t="s">
        <v>40</v>
      </c>
      <c r="N117" s="2" t="s">
        <v>40</v>
      </c>
      <c r="O117" s="2"/>
      <c r="P117" s="2"/>
      <c r="Q117" s="2"/>
      <c r="R117" s="2"/>
      <c r="S117" s="2"/>
      <c r="U117" s="2"/>
      <c r="W117" s="2" t="s">
        <v>40</v>
      </c>
      <c r="X117" s="57" t="s">
        <v>40</v>
      </c>
      <c r="Y117" s="2" t="s">
        <v>74</v>
      </c>
      <c r="Z117" s="2"/>
      <c r="AA117" s="2"/>
      <c r="AB117" s="2" t="s">
        <v>40</v>
      </c>
      <c r="AC117" s="2" t="s">
        <v>40</v>
      </c>
      <c r="AD117" s="2"/>
      <c r="AE117" s="2"/>
      <c r="AF117" s="2"/>
      <c r="AG117" s="2"/>
      <c r="AH117" s="2"/>
      <c r="AI117" s="2"/>
      <c r="AK117" s="2" t="s">
        <v>40</v>
      </c>
      <c r="AL117" s="57" t="s">
        <v>40</v>
      </c>
      <c r="AM117" s="2" t="s">
        <v>74</v>
      </c>
      <c r="AN117" s="2"/>
      <c r="AO117" s="2"/>
      <c r="AP117" s="2" t="s">
        <v>40</v>
      </c>
      <c r="AQ117" s="2" t="s">
        <v>40</v>
      </c>
      <c r="AR117" s="2"/>
      <c r="AS117" s="2"/>
      <c r="AT117" s="2"/>
      <c r="AU117" s="2"/>
      <c r="AW117" s="2"/>
      <c r="AY117" s="2" t="s">
        <v>40</v>
      </c>
      <c r="AZ117" s="57" t="s">
        <v>40</v>
      </c>
      <c r="BA117" s="2" t="s">
        <v>74</v>
      </c>
      <c r="BB117" s="2"/>
      <c r="BC117" s="2"/>
      <c r="BD117" s="2" t="s">
        <v>40</v>
      </c>
      <c r="BE117" s="2" t="s">
        <v>40</v>
      </c>
      <c r="BF117" s="2"/>
      <c r="BG117" s="2"/>
      <c r="BH117" s="2"/>
      <c r="BK117" s="2"/>
      <c r="BM117" s="2" t="s">
        <v>40</v>
      </c>
      <c r="BN117" s="57" t="s">
        <v>40</v>
      </c>
      <c r="BO117" s="2" t="s">
        <v>74</v>
      </c>
      <c r="BP117" s="2"/>
      <c r="BQ117" s="2"/>
      <c r="BR117" s="2" t="s">
        <v>40</v>
      </c>
      <c r="BS117" s="2" t="s">
        <v>40</v>
      </c>
      <c r="BT117" s="2"/>
      <c r="BU117" s="2"/>
      <c r="BV117" s="2"/>
      <c r="BX117" s="2" t="s">
        <v>40</v>
      </c>
      <c r="BY117" s="57" t="s">
        <v>40</v>
      </c>
      <c r="BZ117" s="2" t="s">
        <v>74</v>
      </c>
      <c r="CA117" s="2"/>
      <c r="CB117" s="2"/>
      <c r="CC117" s="2" t="s">
        <v>40</v>
      </c>
      <c r="CD117" s="2" t="s">
        <v>40</v>
      </c>
      <c r="CE117" s="2"/>
      <c r="CF117" s="2"/>
      <c r="CG117" s="2"/>
    </row>
    <row r="118" spans="6:85">
      <c r="F118" s="2">
        <v>1</v>
      </c>
      <c r="G118" s="2" t="s">
        <v>75</v>
      </c>
      <c r="H118" s="2" t="str">
        <f>IF((J$9=G118),F118,"")</f>
        <v/>
      </c>
      <c r="I118" s="57" t="str">
        <f>IFERROR(SMALL(H$118:H$119,F118),"")</f>
        <v/>
      </c>
      <c r="J118" s="2"/>
      <c r="K118" s="2">
        <v>1</v>
      </c>
      <c r="L118" s="2" t="s">
        <v>22</v>
      </c>
      <c r="M118" s="2" t="str">
        <f>IF((J$9=L118),K118,"")</f>
        <v/>
      </c>
      <c r="N118" s="2" t="str">
        <f>IFERROR(SMALL(M$118:M$126,K118),"")</f>
        <v/>
      </c>
      <c r="O118" s="2"/>
      <c r="P118" s="2"/>
      <c r="Q118" s="2"/>
      <c r="R118" s="2"/>
      <c r="S118" s="2"/>
      <c r="U118" s="2">
        <v>1</v>
      </c>
      <c r="V118" s="2" t="s">
        <v>75</v>
      </c>
      <c r="W118" s="2" t="str">
        <f>IF((K$9=V118),U118,"")</f>
        <v/>
      </c>
      <c r="X118" s="57" t="str">
        <f>IFERROR(SMALL(W$118:W$119,U118),"")</f>
        <v/>
      </c>
      <c r="Y118" s="2"/>
      <c r="Z118" s="2">
        <v>1</v>
      </c>
      <c r="AA118" s="2" t="s">
        <v>22</v>
      </c>
      <c r="AB118" s="2">
        <f>IF((K$9=AA118),Z118,"")</f>
        <v>1</v>
      </c>
      <c r="AC118" s="2">
        <f>IFERROR(SMALL(AB$118:AB$126,Z118),"")</f>
        <v>1</v>
      </c>
      <c r="AD118" s="2"/>
      <c r="AE118" s="2"/>
      <c r="AF118" s="2"/>
      <c r="AG118" s="2"/>
      <c r="AH118" s="2"/>
      <c r="AI118" s="2">
        <v>1</v>
      </c>
      <c r="AJ118" s="2" t="s">
        <v>75</v>
      </c>
      <c r="AK118" s="2" t="str">
        <f>IF((L$9=AJ118),AI118,"")</f>
        <v/>
      </c>
      <c r="AL118" s="57" t="str">
        <f>IFERROR(SMALL(AK$118,AI118),"")</f>
        <v/>
      </c>
      <c r="AM118" s="2"/>
      <c r="AN118" s="2">
        <v>1</v>
      </c>
      <c r="AO118" s="2" t="s">
        <v>22</v>
      </c>
      <c r="AP118" s="2" t="str">
        <f>IF((L$9=AO118),AN118,"")</f>
        <v/>
      </c>
      <c r="AQ118" s="2" t="str">
        <f>IFERROR(SMALL(AP$118:AP$125,AN118),"")</f>
        <v/>
      </c>
      <c r="AR118" s="2"/>
      <c r="AS118" s="2"/>
      <c r="AT118" s="2"/>
      <c r="AU118" s="2"/>
      <c r="AW118" s="2">
        <v>1</v>
      </c>
      <c r="AX118" s="2" t="s">
        <v>75</v>
      </c>
      <c r="AY118" s="2" t="str">
        <f>IF((M$9=AX118),AW118,"")</f>
        <v/>
      </c>
      <c r="AZ118" s="57" t="str">
        <f>IFERROR(SMALL(AY$118,AW118),"")</f>
        <v/>
      </c>
      <c r="BA118" s="2"/>
      <c r="BB118" s="2">
        <v>1</v>
      </c>
      <c r="BC118" s="2" t="s">
        <v>22</v>
      </c>
      <c r="BD118" s="2" t="str">
        <f>IF((M$9=BC118),BB118,"")</f>
        <v/>
      </c>
      <c r="BE118" s="2" t="str">
        <f>IFERROR(SMALL(BD$118:BD$125,BB118),"")</f>
        <v/>
      </c>
      <c r="BF118" s="2"/>
      <c r="BG118" s="2"/>
      <c r="BH118" s="2"/>
      <c r="BK118" s="2">
        <v>1</v>
      </c>
      <c r="BL118" s="2" t="s">
        <v>75</v>
      </c>
      <c r="BM118" s="2" t="str">
        <f>IF((N$9=BL118),BK118,"")</f>
        <v/>
      </c>
      <c r="BN118" s="57" t="str">
        <f>IFERROR(SMALL(BM$118,BK118),"")</f>
        <v/>
      </c>
      <c r="BO118" s="2"/>
      <c r="BP118" s="2">
        <v>1</v>
      </c>
      <c r="BQ118" s="2" t="s">
        <v>22</v>
      </c>
      <c r="BR118" s="2" t="str">
        <f>IF((N$9=BQ118),BP118,"")</f>
        <v/>
      </c>
      <c r="BS118" s="2" t="str">
        <f>IFERROR(SMALL(BR$118:BR$125,BP118),"")</f>
        <v/>
      </c>
      <c r="BT118" s="2"/>
      <c r="BU118" s="2"/>
      <c r="BV118" s="2">
        <v>1</v>
      </c>
      <c r="BW118" s="2" t="s">
        <v>75</v>
      </c>
      <c r="BX118" s="2" t="str">
        <f>IF((O$9=BW118),BV118,"")</f>
        <v/>
      </c>
      <c r="BY118" s="57" t="str">
        <f>IFERROR(SMALL(BX$118,BV118),"")</f>
        <v/>
      </c>
      <c r="BZ118" s="2"/>
      <c r="CA118" s="2">
        <v>1</v>
      </c>
      <c r="CB118" s="2" t="s">
        <v>22</v>
      </c>
      <c r="CC118" s="2" t="str">
        <f>IF((O$9=CB118),CA118,"")</f>
        <v/>
      </c>
      <c r="CD118" s="2" t="str">
        <f>IFERROR(SMALL(CC$118:CC$125,CA118),"")</f>
        <v/>
      </c>
      <c r="CE118" s="2"/>
      <c r="CF118" s="2"/>
      <c r="CG118" s="2"/>
    </row>
    <row r="119" spans="6:85">
      <c r="F119" s="2">
        <v>2</v>
      </c>
      <c r="G119" s="17" t="s">
        <v>13</v>
      </c>
      <c r="H119" s="2" t="str">
        <f>IF((J$9=G119),F119,"")</f>
        <v/>
      </c>
      <c r="I119" s="2"/>
      <c r="J119" s="2"/>
      <c r="K119" s="2">
        <v>2</v>
      </c>
      <c r="L119" s="2" t="s">
        <v>76</v>
      </c>
      <c r="M119" s="2" t="str">
        <f t="shared" ref="M119:M126" si="26">IF((J$9=L119),K119,"")</f>
        <v/>
      </c>
      <c r="N119" s="2"/>
      <c r="O119" s="2"/>
      <c r="P119" s="2"/>
      <c r="Q119" s="2"/>
      <c r="R119" s="2"/>
      <c r="S119" s="2"/>
      <c r="U119" s="2">
        <v>2</v>
      </c>
      <c r="V119" s="17" t="s">
        <v>13</v>
      </c>
      <c r="W119" s="2" t="str">
        <f>IF((K$9=V119),U119,"")</f>
        <v/>
      </c>
      <c r="X119" s="2"/>
      <c r="Y119" s="2"/>
      <c r="Z119" s="2">
        <v>2</v>
      </c>
      <c r="AA119" s="2" t="s">
        <v>76</v>
      </c>
      <c r="AB119" s="2" t="str">
        <f t="shared" ref="AB119:AB126" si="27">IF((K$9=AA119),Z119,"")</f>
        <v/>
      </c>
      <c r="AC119" s="2"/>
      <c r="AD119" s="2"/>
      <c r="AE119" s="2"/>
      <c r="AF119" s="2"/>
      <c r="AG119" s="2"/>
      <c r="AH119" s="2"/>
      <c r="AI119" s="2"/>
      <c r="AJ119" s="2"/>
      <c r="AK119" s="2"/>
      <c r="AL119" s="2"/>
      <c r="AM119" s="2"/>
      <c r="AN119" s="2">
        <v>2</v>
      </c>
      <c r="AO119" s="2" t="s">
        <v>76</v>
      </c>
      <c r="AP119" s="2" t="str">
        <f t="shared" ref="AP119:AP125" si="28">IF((L$9=AO119),AN119,"")</f>
        <v/>
      </c>
      <c r="AQ119" s="2"/>
      <c r="AR119" s="2"/>
      <c r="AS119" s="2"/>
      <c r="AT119" s="2"/>
      <c r="AU119" s="2"/>
      <c r="AW119" s="2"/>
      <c r="AX119" s="2"/>
      <c r="AY119" s="2"/>
      <c r="AZ119" s="2"/>
      <c r="BA119" s="2"/>
      <c r="BB119" s="2">
        <v>2</v>
      </c>
      <c r="BC119" s="2" t="s">
        <v>76</v>
      </c>
      <c r="BD119" s="2" t="str">
        <f t="shared" ref="BD119:BD125" si="29">IF((M$9=BC119),BB119,"")</f>
        <v/>
      </c>
      <c r="BE119" s="2"/>
      <c r="BF119" s="2"/>
      <c r="BG119" s="2"/>
      <c r="BH119" s="2"/>
      <c r="BK119" s="2"/>
      <c r="BL119" s="2"/>
      <c r="BM119" s="2"/>
      <c r="BN119" s="2"/>
      <c r="BO119" s="2"/>
      <c r="BP119" s="2">
        <v>2</v>
      </c>
      <c r="BQ119" s="2" t="s">
        <v>76</v>
      </c>
      <c r="BR119" s="2" t="str">
        <f t="shared" ref="BR119:BR125" si="30">IF((N$9=BQ119),BP119,"")</f>
        <v/>
      </c>
      <c r="BS119" s="2"/>
      <c r="BT119" s="2"/>
      <c r="BU119" s="2"/>
      <c r="BV119" s="2"/>
      <c r="BW119" s="2"/>
      <c r="BX119" s="2"/>
      <c r="BY119" s="2"/>
      <c r="BZ119" s="2"/>
      <c r="CA119" s="2">
        <v>2</v>
      </c>
      <c r="CB119" s="2" t="s">
        <v>76</v>
      </c>
      <c r="CC119" s="2" t="str">
        <f t="shared" ref="CC119:CC125" si="31">IF((O$9=CB119),CA119,"")</f>
        <v/>
      </c>
      <c r="CD119" s="2"/>
      <c r="CE119" s="2"/>
      <c r="CF119" s="2"/>
      <c r="CG119" s="2"/>
    </row>
    <row r="120" spans="6:85">
      <c r="F120" s="2"/>
      <c r="G120" s="2"/>
      <c r="H120" s="2"/>
      <c r="I120" s="2"/>
      <c r="J120" s="2"/>
      <c r="K120" s="2">
        <v>3</v>
      </c>
      <c r="L120" s="2" t="s">
        <v>77</v>
      </c>
      <c r="M120" s="2" t="str">
        <f>IF((J$9=L120),K120,"")</f>
        <v/>
      </c>
      <c r="N120" s="2"/>
      <c r="O120" s="2"/>
      <c r="P120" s="2"/>
      <c r="Q120" s="2"/>
      <c r="R120" s="2"/>
      <c r="S120" s="2"/>
      <c r="U120" s="2"/>
      <c r="V120" s="2"/>
      <c r="W120" s="2"/>
      <c r="X120" s="2"/>
      <c r="Y120" s="2"/>
      <c r="Z120" s="2">
        <v>3</v>
      </c>
      <c r="AA120" s="2" t="s">
        <v>77</v>
      </c>
      <c r="AB120" s="2" t="str">
        <f t="shared" si="27"/>
        <v/>
      </c>
      <c r="AC120" s="2"/>
      <c r="AD120" s="2"/>
      <c r="AE120" s="2"/>
      <c r="AF120" s="2"/>
      <c r="AG120" s="2"/>
      <c r="AH120" s="2"/>
      <c r="AI120" s="2"/>
      <c r="AJ120" s="2"/>
      <c r="AK120" s="2"/>
      <c r="AL120" s="2"/>
      <c r="AM120" s="2"/>
      <c r="AN120" s="2">
        <v>3</v>
      </c>
      <c r="AO120" s="2" t="s">
        <v>77</v>
      </c>
      <c r="AP120" s="2" t="str">
        <f t="shared" si="28"/>
        <v/>
      </c>
      <c r="AQ120" s="2"/>
      <c r="AR120" s="2"/>
      <c r="AS120" s="2"/>
      <c r="AT120" s="2"/>
      <c r="AU120" s="2"/>
      <c r="AW120" s="2"/>
      <c r="AX120" s="2"/>
      <c r="AY120" s="2"/>
      <c r="AZ120" s="2"/>
      <c r="BA120" s="2"/>
      <c r="BB120" s="2">
        <v>3</v>
      </c>
      <c r="BC120" s="2" t="s">
        <v>77</v>
      </c>
      <c r="BD120" s="2" t="str">
        <f t="shared" si="29"/>
        <v/>
      </c>
      <c r="BE120" s="2"/>
      <c r="BF120" s="2"/>
      <c r="BG120" s="2"/>
      <c r="BH120" s="2"/>
      <c r="BK120" s="2"/>
      <c r="BL120" s="2"/>
      <c r="BM120" s="2"/>
      <c r="BN120" s="2"/>
      <c r="BO120" s="2"/>
      <c r="BP120" s="2">
        <v>3</v>
      </c>
      <c r="BQ120" s="2" t="s">
        <v>77</v>
      </c>
      <c r="BR120" s="2" t="str">
        <f t="shared" si="30"/>
        <v/>
      </c>
      <c r="BS120" s="2"/>
      <c r="BT120" s="2"/>
      <c r="BU120" s="2"/>
      <c r="BV120" s="2"/>
      <c r="BW120" s="2"/>
      <c r="BX120" s="2"/>
      <c r="BY120" s="2"/>
      <c r="BZ120" s="2"/>
      <c r="CA120" s="2">
        <v>3</v>
      </c>
      <c r="CB120" s="2" t="s">
        <v>77</v>
      </c>
      <c r="CC120" s="2" t="str">
        <f t="shared" si="31"/>
        <v/>
      </c>
      <c r="CD120" s="2"/>
      <c r="CE120" s="2"/>
      <c r="CF120" s="2"/>
      <c r="CG120" s="2"/>
    </row>
    <row r="121" spans="6:85">
      <c r="F121" s="2"/>
      <c r="G121" s="2"/>
      <c r="H121" s="2"/>
      <c r="I121" s="2"/>
      <c r="J121" s="2"/>
      <c r="K121" s="2">
        <v>4</v>
      </c>
      <c r="L121" s="2" t="s">
        <v>78</v>
      </c>
      <c r="M121" s="2" t="str">
        <f>IF((J$9=L121),K121,"")</f>
        <v/>
      </c>
      <c r="N121" s="2"/>
      <c r="O121" s="2"/>
      <c r="P121" s="2"/>
      <c r="Q121" s="2"/>
      <c r="R121" s="2"/>
      <c r="S121" s="2"/>
      <c r="U121" s="2"/>
      <c r="V121" s="2"/>
      <c r="W121" s="2"/>
      <c r="X121" s="2"/>
      <c r="Y121" s="2"/>
      <c r="Z121" s="2">
        <v>4</v>
      </c>
      <c r="AA121" s="2" t="s">
        <v>78</v>
      </c>
      <c r="AB121" s="2" t="str">
        <f t="shared" si="27"/>
        <v/>
      </c>
      <c r="AC121" s="2"/>
      <c r="AD121" s="2"/>
      <c r="AE121" s="2"/>
      <c r="AF121" s="2"/>
      <c r="AG121" s="2"/>
      <c r="AH121" s="2"/>
      <c r="AI121" s="2"/>
      <c r="AJ121" s="2"/>
      <c r="AK121" s="2"/>
      <c r="AL121" s="2"/>
      <c r="AM121" s="2"/>
      <c r="AN121" s="2">
        <v>4</v>
      </c>
      <c r="AO121" s="2" t="s">
        <v>78</v>
      </c>
      <c r="AP121" s="2" t="str">
        <f t="shared" si="28"/>
        <v/>
      </c>
      <c r="AQ121" s="2"/>
      <c r="AR121" s="2"/>
      <c r="AS121" s="2"/>
      <c r="AT121" s="2"/>
      <c r="AU121" s="2"/>
      <c r="AW121" s="2"/>
      <c r="AX121" s="2"/>
      <c r="AY121" s="2"/>
      <c r="AZ121" s="2"/>
      <c r="BA121" s="2"/>
      <c r="BB121" s="2">
        <v>4</v>
      </c>
      <c r="BC121" s="2" t="s">
        <v>78</v>
      </c>
      <c r="BD121" s="2" t="str">
        <f t="shared" si="29"/>
        <v/>
      </c>
      <c r="BE121" s="2"/>
      <c r="BF121" s="2"/>
      <c r="BG121" s="2"/>
      <c r="BH121" s="2"/>
      <c r="BK121" s="2"/>
      <c r="BL121" s="2"/>
      <c r="BM121" s="2"/>
      <c r="BN121" s="2"/>
      <c r="BO121" s="2"/>
      <c r="BP121" s="2">
        <v>4</v>
      </c>
      <c r="BQ121" s="2" t="s">
        <v>78</v>
      </c>
      <c r="BR121" s="2" t="str">
        <f t="shared" si="30"/>
        <v/>
      </c>
      <c r="BS121" s="2"/>
      <c r="BT121" s="2"/>
      <c r="BU121" s="2"/>
      <c r="BV121" s="2"/>
      <c r="BW121" s="2"/>
      <c r="BX121" s="2"/>
      <c r="BY121" s="2"/>
      <c r="BZ121" s="2"/>
      <c r="CA121" s="2">
        <v>4</v>
      </c>
      <c r="CB121" s="2" t="s">
        <v>78</v>
      </c>
      <c r="CC121" s="2" t="str">
        <f t="shared" si="31"/>
        <v/>
      </c>
      <c r="CD121" s="2"/>
      <c r="CE121" s="2"/>
      <c r="CF121" s="2"/>
      <c r="CG121" s="2"/>
    </row>
    <row r="122" spans="6:85">
      <c r="F122" s="2"/>
      <c r="G122" s="2"/>
      <c r="H122" s="2"/>
      <c r="I122" s="2"/>
      <c r="J122" s="2"/>
      <c r="K122" s="2">
        <v>5</v>
      </c>
      <c r="L122" s="2" t="s">
        <v>79</v>
      </c>
      <c r="M122" s="2" t="str">
        <f t="shared" si="26"/>
        <v/>
      </c>
      <c r="N122" s="2"/>
      <c r="O122" s="2"/>
      <c r="P122" s="2"/>
      <c r="Q122" s="2"/>
      <c r="R122" s="2"/>
      <c r="S122" s="2"/>
      <c r="U122" s="2"/>
      <c r="V122" s="2"/>
      <c r="W122" s="2"/>
      <c r="X122" s="2"/>
      <c r="Y122" s="2"/>
      <c r="Z122" s="2">
        <v>5</v>
      </c>
      <c r="AA122" s="2" t="s">
        <v>79</v>
      </c>
      <c r="AB122" s="2" t="str">
        <f t="shared" si="27"/>
        <v/>
      </c>
      <c r="AC122" s="2"/>
      <c r="AD122" s="2"/>
      <c r="AE122" s="2"/>
      <c r="AF122" s="2"/>
      <c r="AG122" s="2"/>
      <c r="AH122" s="2"/>
      <c r="AI122" s="2"/>
      <c r="AJ122" s="2"/>
      <c r="AK122" s="2"/>
      <c r="AL122" s="2"/>
      <c r="AM122" s="2"/>
      <c r="AN122" s="2">
        <v>5</v>
      </c>
      <c r="AO122" s="2" t="s">
        <v>79</v>
      </c>
      <c r="AP122" s="2" t="str">
        <f t="shared" si="28"/>
        <v/>
      </c>
      <c r="AQ122" s="2"/>
      <c r="AR122" s="2"/>
      <c r="AS122" s="2"/>
      <c r="AT122" s="2"/>
      <c r="AU122" s="2"/>
      <c r="AW122" s="2"/>
      <c r="AX122" s="2"/>
      <c r="AY122" s="2"/>
      <c r="AZ122" s="2"/>
      <c r="BA122" s="2"/>
      <c r="BB122" s="2">
        <v>5</v>
      </c>
      <c r="BC122" s="2" t="s">
        <v>79</v>
      </c>
      <c r="BD122" s="2" t="str">
        <f t="shared" si="29"/>
        <v/>
      </c>
      <c r="BE122" s="2"/>
      <c r="BF122" s="2"/>
      <c r="BG122" s="2"/>
      <c r="BH122" s="2"/>
      <c r="BK122" s="2"/>
      <c r="BL122" s="2"/>
      <c r="BM122" s="2"/>
      <c r="BN122" s="2"/>
      <c r="BO122" s="2"/>
      <c r="BP122" s="2">
        <v>5</v>
      </c>
      <c r="BQ122" s="2" t="s">
        <v>79</v>
      </c>
      <c r="BR122" s="2" t="str">
        <f t="shared" si="30"/>
        <v/>
      </c>
      <c r="BS122" s="2"/>
      <c r="BT122" s="2"/>
      <c r="BU122" s="2"/>
      <c r="BV122" s="2"/>
      <c r="BW122" s="2"/>
      <c r="BX122" s="2"/>
      <c r="BY122" s="2"/>
      <c r="BZ122" s="2"/>
      <c r="CA122" s="2">
        <v>5</v>
      </c>
      <c r="CB122" s="2" t="s">
        <v>79</v>
      </c>
      <c r="CC122" s="2" t="str">
        <f t="shared" si="31"/>
        <v/>
      </c>
      <c r="CD122" s="2"/>
      <c r="CE122" s="2"/>
      <c r="CF122" s="2"/>
      <c r="CG122" s="2"/>
    </row>
    <row r="123" spans="6:85">
      <c r="F123" s="2"/>
      <c r="G123" s="2"/>
      <c r="H123" s="2"/>
      <c r="I123" s="2"/>
      <c r="J123" s="2"/>
      <c r="K123" s="2">
        <v>6</v>
      </c>
      <c r="L123" s="2" t="s">
        <v>80</v>
      </c>
      <c r="M123" s="2" t="str">
        <f t="shared" si="26"/>
        <v/>
      </c>
      <c r="N123" s="2"/>
      <c r="O123" s="2"/>
      <c r="P123" s="2"/>
      <c r="Q123" s="2"/>
      <c r="R123" s="2"/>
      <c r="S123" s="2"/>
      <c r="U123" s="2"/>
      <c r="V123" s="2"/>
      <c r="W123" s="2"/>
      <c r="X123" s="2"/>
      <c r="Y123" s="2"/>
      <c r="Z123" s="2">
        <v>6</v>
      </c>
      <c r="AA123" s="2" t="s">
        <v>80</v>
      </c>
      <c r="AB123" s="2" t="str">
        <f t="shared" si="27"/>
        <v/>
      </c>
      <c r="AC123" s="2"/>
      <c r="AD123" s="2"/>
      <c r="AE123" s="2"/>
      <c r="AF123" s="2"/>
      <c r="AG123" s="2"/>
      <c r="AH123" s="2"/>
      <c r="AI123" s="2"/>
      <c r="AJ123" s="2"/>
      <c r="AK123" s="2"/>
      <c r="AL123" s="2"/>
      <c r="AM123" s="2"/>
      <c r="AN123" s="2">
        <v>6</v>
      </c>
      <c r="AO123" s="2" t="s">
        <v>80</v>
      </c>
      <c r="AP123" s="2" t="str">
        <f t="shared" si="28"/>
        <v/>
      </c>
      <c r="AQ123" s="2"/>
      <c r="AR123" s="2"/>
      <c r="AS123" s="2"/>
      <c r="AT123" s="2"/>
      <c r="AU123" s="2"/>
      <c r="AW123" s="2"/>
      <c r="AX123" s="2"/>
      <c r="AY123" s="2"/>
      <c r="AZ123" s="2"/>
      <c r="BA123" s="2"/>
      <c r="BB123" s="2">
        <v>6</v>
      </c>
      <c r="BC123" s="2" t="s">
        <v>80</v>
      </c>
      <c r="BD123" s="2" t="str">
        <f t="shared" si="29"/>
        <v/>
      </c>
      <c r="BE123" s="2"/>
      <c r="BF123" s="2"/>
      <c r="BG123" s="2"/>
      <c r="BH123" s="2"/>
      <c r="BK123" s="2"/>
      <c r="BL123" s="2"/>
      <c r="BM123" s="2"/>
      <c r="BN123" s="2"/>
      <c r="BO123" s="2"/>
      <c r="BP123" s="2">
        <v>6</v>
      </c>
      <c r="BQ123" s="2" t="s">
        <v>80</v>
      </c>
      <c r="BR123" s="2" t="str">
        <f t="shared" si="30"/>
        <v/>
      </c>
      <c r="BS123" s="2"/>
      <c r="BT123" s="2"/>
      <c r="BU123" s="2"/>
      <c r="BV123" s="2"/>
      <c r="BW123" s="2"/>
      <c r="BX123" s="2"/>
      <c r="BY123" s="2"/>
      <c r="BZ123" s="2"/>
      <c r="CA123" s="2">
        <v>6</v>
      </c>
      <c r="CB123" s="2" t="s">
        <v>80</v>
      </c>
      <c r="CC123" s="2" t="str">
        <f t="shared" si="31"/>
        <v/>
      </c>
      <c r="CD123" s="2"/>
      <c r="CE123" s="2"/>
      <c r="CF123" s="2"/>
      <c r="CG123" s="2"/>
    </row>
    <row r="124" spans="6:85">
      <c r="F124" s="2"/>
      <c r="G124" s="2"/>
      <c r="H124" s="2"/>
      <c r="I124" s="2"/>
      <c r="J124" s="2"/>
      <c r="K124" s="2">
        <v>7</v>
      </c>
      <c r="L124" s="2" t="s">
        <v>81</v>
      </c>
      <c r="M124" s="2" t="str">
        <f t="shared" si="26"/>
        <v/>
      </c>
      <c r="N124" s="2"/>
      <c r="O124" s="2"/>
      <c r="P124" s="2"/>
      <c r="Q124" s="2"/>
      <c r="R124" s="2"/>
      <c r="S124" s="2"/>
      <c r="U124" s="2"/>
      <c r="V124" s="2"/>
      <c r="W124" s="2"/>
      <c r="X124" s="2"/>
      <c r="Y124" s="2"/>
      <c r="Z124" s="2">
        <v>7</v>
      </c>
      <c r="AA124" s="2" t="s">
        <v>81</v>
      </c>
      <c r="AB124" s="2" t="str">
        <f t="shared" si="27"/>
        <v/>
      </c>
      <c r="AC124" s="2"/>
      <c r="AD124" s="2"/>
      <c r="AE124" s="2"/>
      <c r="AF124" s="2"/>
      <c r="AG124" s="2"/>
      <c r="AH124" s="2"/>
      <c r="AI124" s="2"/>
      <c r="AJ124" s="2"/>
      <c r="AK124" s="2"/>
      <c r="AL124" s="2"/>
      <c r="AM124" s="2"/>
      <c r="AN124" s="2">
        <v>7</v>
      </c>
      <c r="AO124" s="2" t="s">
        <v>81</v>
      </c>
      <c r="AP124" s="2" t="str">
        <f t="shared" si="28"/>
        <v/>
      </c>
      <c r="AQ124" s="2"/>
      <c r="AR124" s="2"/>
      <c r="AS124" s="2"/>
      <c r="AT124" s="2"/>
      <c r="AU124" s="2"/>
      <c r="AW124" s="2"/>
      <c r="AX124" s="2"/>
      <c r="AY124" s="2"/>
      <c r="AZ124" s="2"/>
      <c r="BA124" s="2"/>
      <c r="BB124" s="2">
        <v>7</v>
      </c>
      <c r="BC124" s="2" t="s">
        <v>81</v>
      </c>
      <c r="BD124" s="2" t="str">
        <f t="shared" si="29"/>
        <v/>
      </c>
      <c r="BE124" s="2"/>
      <c r="BF124" s="2"/>
      <c r="BG124" s="2"/>
      <c r="BH124" s="2"/>
      <c r="BK124" s="2"/>
      <c r="BL124" s="2"/>
      <c r="BM124" s="2"/>
      <c r="BN124" s="2"/>
      <c r="BO124" s="2"/>
      <c r="BP124" s="2">
        <v>7</v>
      </c>
      <c r="BQ124" s="2" t="s">
        <v>81</v>
      </c>
      <c r="BR124" s="2" t="str">
        <f t="shared" si="30"/>
        <v/>
      </c>
      <c r="BS124" s="2"/>
      <c r="BT124" s="2"/>
      <c r="BU124" s="2"/>
      <c r="BV124" s="2"/>
      <c r="BW124" s="2"/>
      <c r="BX124" s="2"/>
      <c r="BY124" s="2"/>
      <c r="BZ124" s="2"/>
      <c r="CA124" s="2">
        <v>7</v>
      </c>
      <c r="CB124" s="2" t="s">
        <v>81</v>
      </c>
      <c r="CC124" s="2" t="str">
        <f t="shared" si="31"/>
        <v/>
      </c>
      <c r="CD124" s="2"/>
      <c r="CE124" s="2"/>
      <c r="CF124" s="2"/>
      <c r="CG124" s="2"/>
    </row>
    <row r="125" spans="6:85">
      <c r="F125" s="2"/>
      <c r="G125" s="2"/>
      <c r="H125" s="2"/>
      <c r="I125" s="2"/>
      <c r="J125" s="2"/>
      <c r="K125" s="2">
        <v>8</v>
      </c>
      <c r="L125" s="2" t="s">
        <v>82</v>
      </c>
      <c r="M125" s="2" t="str">
        <f t="shared" si="26"/>
        <v/>
      </c>
      <c r="N125" s="2"/>
      <c r="O125" s="2"/>
      <c r="P125" s="2"/>
      <c r="Q125" s="2"/>
      <c r="R125" s="2"/>
      <c r="S125" s="2"/>
      <c r="U125" s="2"/>
      <c r="V125" s="2"/>
      <c r="W125" s="2"/>
      <c r="X125" s="2"/>
      <c r="Y125" s="2"/>
      <c r="Z125" s="2">
        <v>8</v>
      </c>
      <c r="AA125" s="2" t="s">
        <v>82</v>
      </c>
      <c r="AB125" s="2" t="str">
        <f t="shared" si="27"/>
        <v/>
      </c>
      <c r="AC125" s="2"/>
      <c r="AD125" s="2"/>
      <c r="AE125" s="2"/>
      <c r="AF125" s="2"/>
      <c r="AG125" s="2"/>
      <c r="AH125" s="2"/>
      <c r="AI125" s="2"/>
      <c r="AJ125" s="2"/>
      <c r="AK125" s="2"/>
      <c r="AL125" s="2"/>
      <c r="AM125" s="2"/>
      <c r="AN125" s="2">
        <v>8</v>
      </c>
      <c r="AO125" s="2" t="s">
        <v>82</v>
      </c>
      <c r="AP125" s="2" t="str">
        <f t="shared" si="28"/>
        <v/>
      </c>
      <c r="AQ125" s="2"/>
      <c r="AR125" s="2"/>
      <c r="AS125" s="2"/>
      <c r="AT125" s="2"/>
      <c r="AU125" s="2"/>
      <c r="AW125" s="2"/>
      <c r="AX125" s="2"/>
      <c r="AY125" s="2"/>
      <c r="AZ125" s="2"/>
      <c r="BA125" s="2"/>
      <c r="BB125" s="2">
        <v>8</v>
      </c>
      <c r="BC125" s="2" t="s">
        <v>82</v>
      </c>
      <c r="BD125" s="2" t="str">
        <f t="shared" si="29"/>
        <v/>
      </c>
      <c r="BE125" s="2"/>
      <c r="BF125" s="2"/>
      <c r="BG125" s="2"/>
      <c r="BH125" s="2"/>
      <c r="BK125" s="2"/>
      <c r="BL125" s="2"/>
      <c r="BM125" s="2"/>
      <c r="BN125" s="2"/>
      <c r="BO125" s="2"/>
      <c r="BP125" s="2">
        <v>8</v>
      </c>
      <c r="BQ125" s="2" t="s">
        <v>82</v>
      </c>
      <c r="BR125" s="2" t="str">
        <f t="shared" si="30"/>
        <v/>
      </c>
      <c r="BS125" s="2"/>
      <c r="BT125" s="2"/>
      <c r="BU125" s="2"/>
      <c r="BV125" s="2"/>
      <c r="BW125" s="2"/>
      <c r="BX125" s="2"/>
      <c r="BY125" s="2"/>
      <c r="BZ125" s="2"/>
      <c r="CA125" s="2">
        <v>8</v>
      </c>
      <c r="CB125" s="2" t="s">
        <v>82</v>
      </c>
      <c r="CC125" s="2" t="str">
        <f t="shared" si="31"/>
        <v/>
      </c>
      <c r="CD125" s="2"/>
      <c r="CE125" s="2"/>
      <c r="CF125" s="2"/>
      <c r="CG125" s="2"/>
    </row>
    <row r="126" spans="6:85">
      <c r="F126" s="2"/>
      <c r="G126" s="2"/>
      <c r="H126" s="2"/>
      <c r="I126" s="2"/>
      <c r="J126" s="2"/>
      <c r="K126" s="2">
        <v>9</v>
      </c>
      <c r="L126" s="17" t="s">
        <v>13</v>
      </c>
      <c r="M126" s="2" t="str">
        <f t="shared" si="26"/>
        <v/>
      </c>
      <c r="N126" s="2"/>
      <c r="O126" s="2"/>
      <c r="P126" s="2"/>
      <c r="Q126" s="2"/>
      <c r="R126" s="2"/>
      <c r="S126" s="2"/>
      <c r="U126" s="2"/>
      <c r="V126" s="2"/>
      <c r="W126" s="2"/>
      <c r="X126" s="2"/>
      <c r="Y126" s="2"/>
      <c r="Z126" s="2">
        <v>9</v>
      </c>
      <c r="AA126" s="17" t="s">
        <v>13</v>
      </c>
      <c r="AB126" s="2" t="str">
        <f t="shared" si="27"/>
        <v/>
      </c>
      <c r="AC126" s="2"/>
      <c r="AD126" s="2"/>
      <c r="AE126" s="2"/>
      <c r="AF126" s="2"/>
      <c r="AG126" s="2"/>
      <c r="AH126" s="2"/>
      <c r="AI126" s="2"/>
      <c r="AJ126" s="2"/>
      <c r="AK126" s="2"/>
      <c r="AL126" s="2"/>
      <c r="AM126" s="2"/>
      <c r="AN126" s="2"/>
      <c r="AO126" s="2"/>
      <c r="AP126" s="2"/>
      <c r="AQ126" s="2"/>
      <c r="AR126" s="2"/>
      <c r="AS126" s="2"/>
      <c r="AT126" s="2"/>
      <c r="AU126" s="2"/>
      <c r="AW126" s="2"/>
      <c r="AX126" s="2"/>
      <c r="AY126" s="2"/>
      <c r="AZ126" s="2"/>
      <c r="BA126" s="2"/>
      <c r="BB126" s="2"/>
      <c r="BC126" s="2"/>
      <c r="BD126" s="2"/>
      <c r="BE126" s="2"/>
      <c r="BF126" s="2"/>
      <c r="BG126" s="2"/>
      <c r="BH126" s="2"/>
      <c r="BK126" s="2"/>
      <c r="BL126" s="2"/>
      <c r="BM126" s="2"/>
      <c r="BN126" s="2"/>
      <c r="BO126" s="2"/>
      <c r="BP126" s="2"/>
      <c r="BQ126" s="2"/>
      <c r="BR126" s="2"/>
      <c r="BS126" s="2"/>
      <c r="BT126" s="2"/>
      <c r="BU126" s="2"/>
      <c r="BV126" s="2"/>
      <c r="BW126" s="2"/>
      <c r="BX126" s="2"/>
      <c r="BY126" s="2"/>
      <c r="BZ126" s="2"/>
      <c r="CA126" s="2"/>
      <c r="CB126" s="2"/>
      <c r="CC126" s="2"/>
      <c r="CD126" s="2"/>
      <c r="CE126" s="2"/>
      <c r="CF126" s="2"/>
      <c r="CG126" s="2"/>
    </row>
    <row r="127" spans="6:85">
      <c r="F127" s="2"/>
      <c r="G127" s="2"/>
      <c r="H127" s="2"/>
      <c r="I127" s="2"/>
      <c r="J127" s="2"/>
      <c r="K127" s="2"/>
      <c r="L127" s="2"/>
      <c r="M127" s="2"/>
      <c r="N127" s="2"/>
      <c r="O127" s="2"/>
      <c r="P127" s="2"/>
      <c r="Q127" s="2"/>
      <c r="R127" s="2"/>
      <c r="S127" s="2"/>
      <c r="U127" s="2"/>
      <c r="V127" s="2"/>
      <c r="W127" s="2"/>
      <c r="X127" s="2"/>
      <c r="Y127" s="2"/>
      <c r="Z127" s="2"/>
      <c r="AA127" s="2"/>
      <c r="AB127" s="2"/>
      <c r="AC127" s="2"/>
      <c r="AD127" s="2"/>
      <c r="AE127" s="2"/>
      <c r="AF127" s="2"/>
      <c r="AG127" s="2"/>
      <c r="AH127" s="2"/>
      <c r="AI127" s="2"/>
      <c r="AJ127" s="2"/>
      <c r="AK127" s="2"/>
      <c r="AL127" s="2"/>
      <c r="AM127" s="2"/>
      <c r="AN127" s="2"/>
      <c r="AO127" s="2"/>
      <c r="AP127" s="2"/>
      <c r="AQ127" s="2"/>
      <c r="AR127" s="2"/>
      <c r="AS127" s="2"/>
      <c r="AT127" s="2"/>
      <c r="AU127" s="2"/>
      <c r="AW127" s="2"/>
      <c r="AX127" s="2"/>
      <c r="AY127" s="2"/>
      <c r="AZ127" s="2"/>
      <c r="BA127" s="2"/>
      <c r="BB127" s="2"/>
      <c r="BC127" s="2"/>
      <c r="BD127" s="2"/>
      <c r="BE127" s="2"/>
      <c r="BF127" s="2"/>
      <c r="BG127" s="2"/>
      <c r="BH127" s="2"/>
      <c r="BK127" s="2"/>
      <c r="BL127" s="2"/>
      <c r="BM127" s="2"/>
      <c r="BN127" s="2"/>
      <c r="BO127" s="2"/>
      <c r="BP127" s="2"/>
      <c r="BQ127" s="2"/>
      <c r="BR127" s="2"/>
      <c r="BS127" s="2"/>
      <c r="BT127" s="2"/>
      <c r="BU127" s="2"/>
      <c r="BV127" s="2"/>
      <c r="BW127" s="2"/>
      <c r="BX127" s="2"/>
      <c r="BY127" s="2"/>
      <c r="BZ127" s="2"/>
      <c r="CA127" s="2"/>
      <c r="CB127" s="2"/>
      <c r="CC127" s="2"/>
      <c r="CD127" s="2"/>
      <c r="CE127" s="2"/>
      <c r="CF127" s="2"/>
      <c r="CG127" s="2"/>
    </row>
    <row r="128" spans="6:85">
      <c r="F128" s="2"/>
      <c r="G128" s="2"/>
      <c r="H128" s="2"/>
      <c r="I128" s="12" t="s">
        <v>69</v>
      </c>
      <c r="J128" s="2" t="s">
        <v>58</v>
      </c>
      <c r="K128" s="2" t="s">
        <v>58</v>
      </c>
      <c r="L128" s="12" t="s">
        <v>59</v>
      </c>
      <c r="M128" s="2" t="s">
        <v>60</v>
      </c>
      <c r="N128" s="2" t="s">
        <v>61</v>
      </c>
      <c r="O128" s="2" t="s">
        <v>62</v>
      </c>
      <c r="P128" s="2"/>
      <c r="Q128" s="2"/>
      <c r="R128" s="2"/>
      <c r="S128" s="2"/>
      <c r="U128" s="2"/>
      <c r="V128" s="2"/>
      <c r="W128" s="2"/>
      <c r="X128" s="12" t="s">
        <v>69</v>
      </c>
      <c r="Y128" s="2" t="s">
        <v>58</v>
      </c>
      <c r="Z128" s="2" t="s">
        <v>58</v>
      </c>
      <c r="AA128" s="12" t="s">
        <v>59</v>
      </c>
      <c r="AB128" s="2" t="s">
        <v>60</v>
      </c>
      <c r="AC128" s="2" t="s">
        <v>61</v>
      </c>
      <c r="AD128" s="2" t="s">
        <v>62</v>
      </c>
      <c r="AE128" s="2"/>
      <c r="AF128" s="2"/>
      <c r="AG128" s="2"/>
      <c r="AH128" s="2"/>
      <c r="AI128" s="2"/>
      <c r="AJ128" s="2"/>
      <c r="AK128" s="2"/>
      <c r="AL128" s="12" t="s">
        <v>69</v>
      </c>
      <c r="AM128" s="2" t="s">
        <v>58</v>
      </c>
      <c r="AN128" s="2" t="s">
        <v>58</v>
      </c>
      <c r="AO128" s="12" t="s">
        <v>59</v>
      </c>
      <c r="AP128" s="2" t="s">
        <v>60</v>
      </c>
      <c r="AQ128" s="2" t="s">
        <v>61</v>
      </c>
      <c r="AR128" s="2" t="s">
        <v>62</v>
      </c>
      <c r="AS128" s="2"/>
      <c r="AT128" s="2"/>
      <c r="AU128" s="2"/>
      <c r="AW128" s="2"/>
      <c r="AX128" s="2"/>
      <c r="AY128" s="2"/>
      <c r="AZ128" s="12" t="s">
        <v>69</v>
      </c>
      <c r="BA128" s="2" t="s">
        <v>58</v>
      </c>
      <c r="BB128" s="2" t="s">
        <v>58</v>
      </c>
      <c r="BC128" s="12" t="s">
        <v>59</v>
      </c>
      <c r="BD128" s="2" t="s">
        <v>60</v>
      </c>
      <c r="BE128" s="2" t="s">
        <v>61</v>
      </c>
      <c r="BF128" s="2" t="s">
        <v>62</v>
      </c>
      <c r="BG128" s="2"/>
      <c r="BH128" s="2"/>
      <c r="BK128" s="2"/>
      <c r="BL128" s="2"/>
      <c r="BM128" s="2"/>
      <c r="BN128" s="12" t="s">
        <v>69</v>
      </c>
      <c r="BO128" s="2" t="s">
        <v>58</v>
      </c>
      <c r="BP128" s="2" t="s">
        <v>58</v>
      </c>
      <c r="BQ128" s="12" t="s">
        <v>59</v>
      </c>
      <c r="BR128" s="2" t="s">
        <v>60</v>
      </c>
      <c r="BS128" s="2" t="s">
        <v>61</v>
      </c>
      <c r="BT128" s="2" t="s">
        <v>62</v>
      </c>
      <c r="BU128" s="2"/>
      <c r="BV128" s="2"/>
      <c r="BW128" s="2"/>
      <c r="BX128" s="2"/>
      <c r="BY128" s="12" t="s">
        <v>69</v>
      </c>
      <c r="BZ128" s="2" t="s">
        <v>58</v>
      </c>
      <c r="CA128" s="2" t="s">
        <v>58</v>
      </c>
      <c r="CB128" s="12" t="s">
        <v>59</v>
      </c>
      <c r="CC128" s="2" t="s">
        <v>60</v>
      </c>
      <c r="CD128" s="2" t="s">
        <v>61</v>
      </c>
      <c r="CE128" s="2" t="s">
        <v>62</v>
      </c>
      <c r="CF128" s="2"/>
      <c r="CG128" s="2"/>
    </row>
    <row r="129" spans="6:85">
      <c r="F129" s="2">
        <v>1</v>
      </c>
      <c r="G129" s="3" t="s">
        <v>83</v>
      </c>
      <c r="H129" s="3"/>
      <c r="I129" s="3" t="str">
        <f>IF(I118=1,5.25,"")</f>
        <v/>
      </c>
      <c r="J129" s="3" t="str">
        <f t="shared" ref="J129:J134" si="32">IF((J$8=G129),F129,"")</f>
        <v/>
      </c>
      <c r="K129" s="3" t="str">
        <f>IFERROR(SMALL(J$129:J$133,F129),"")</f>
        <v/>
      </c>
      <c r="L129" s="3">
        <v>177</v>
      </c>
      <c r="M129" s="3" t="b">
        <f>IF(K$129=F129,J$10*(L129*I129))</f>
        <v>0</v>
      </c>
      <c r="N129" s="3" t="b">
        <f>IF(K$129=F129,J$11*(L129*I129))</f>
        <v>0</v>
      </c>
      <c r="O129" s="3">
        <f>((((M129-N129)/1000)*4281)*0.000001)*J6</f>
        <v>0</v>
      </c>
      <c r="P129" s="2" t="s">
        <v>64</v>
      </c>
      <c r="Q129" s="2"/>
      <c r="R129" s="2"/>
      <c r="S129" s="2"/>
      <c r="U129" s="2">
        <v>1</v>
      </c>
      <c r="V129" s="3" t="s">
        <v>83</v>
      </c>
      <c r="W129" s="3"/>
      <c r="X129" s="3" t="str">
        <f>IF(X118=1,5.25,"")</f>
        <v/>
      </c>
      <c r="Y129" s="3" t="str">
        <f>IF((K$8=V129),U129,"")</f>
        <v/>
      </c>
      <c r="Z129" s="3" t="str">
        <f>IFERROR(SMALL(Y$129:Y$133,U129),"")</f>
        <v/>
      </c>
      <c r="AA129" s="3">
        <v>177</v>
      </c>
      <c r="AB129" s="3" t="b">
        <f>IF(Z$129=U129,K$10*(AA129*X129))</f>
        <v>0</v>
      </c>
      <c r="AC129" s="3" t="b">
        <f>IF(Z$129=U129,K$11*(AA129*X129))</f>
        <v>0</v>
      </c>
      <c r="AD129" s="3">
        <f>((((AB129-AC129)/1000)*4281)*0.000001)*K6</f>
        <v>0</v>
      </c>
      <c r="AE129" s="2" t="s">
        <v>64</v>
      </c>
      <c r="AF129" s="2"/>
      <c r="AG129" s="2"/>
      <c r="AH129" s="2"/>
      <c r="AI129" s="2">
        <v>1</v>
      </c>
      <c r="AJ129" s="3" t="s">
        <v>83</v>
      </c>
      <c r="AK129" s="3"/>
      <c r="AL129" s="3" t="str">
        <f>IF(AL118=1,5.25,"")</f>
        <v/>
      </c>
      <c r="AM129" s="3" t="str">
        <f>IF((L$8=AJ129),AI129,"")</f>
        <v/>
      </c>
      <c r="AN129" s="3" t="str">
        <f>IFERROR(SMALL(AM$129:AM$133,AI129),"")</f>
        <v/>
      </c>
      <c r="AO129" s="3">
        <v>177</v>
      </c>
      <c r="AP129" s="3" t="b">
        <f>IF(AN$129=AI129,L$10*(AO129*AL129))</f>
        <v>0</v>
      </c>
      <c r="AQ129" s="3" t="b">
        <f>IF(AN$129=AI129,L$11*(AO129*AL129))</f>
        <v>0</v>
      </c>
      <c r="AR129" s="3">
        <f>((((AP129-AQ129)/1000)*4281)*0.000001)*L6</f>
        <v>0</v>
      </c>
      <c r="AS129" s="2" t="s">
        <v>64</v>
      </c>
      <c r="AT129" s="2"/>
      <c r="AU129" s="2"/>
      <c r="AW129" s="2">
        <v>1</v>
      </c>
      <c r="AX129" s="3" t="s">
        <v>83</v>
      </c>
      <c r="AY129" s="3"/>
      <c r="AZ129" s="3" t="str">
        <f>IF(AZ118=1,5.25,"")</f>
        <v/>
      </c>
      <c r="BA129" s="3" t="str">
        <f>IF((M$8=AX129),AW129,"")</f>
        <v/>
      </c>
      <c r="BB129" s="3" t="str">
        <f>IFERROR(SMALL(BA$129:BA$133,AW129),"")</f>
        <v/>
      </c>
      <c r="BC129" s="3">
        <v>177</v>
      </c>
      <c r="BD129" s="3" t="b">
        <f>IF(BB$129=AW129,M$10*(BC129*AZ129))</f>
        <v>0</v>
      </c>
      <c r="BE129" s="3" t="b">
        <f>IF(BB$129=AW129,M$11*(BC129*AZ129))</f>
        <v>0</v>
      </c>
      <c r="BF129" s="3">
        <f>((((BD129-BE129)/1000)*4281)*0.000001)*M6</f>
        <v>0</v>
      </c>
      <c r="BG129" s="2" t="s">
        <v>64</v>
      </c>
      <c r="BH129" s="2"/>
      <c r="BK129" s="2">
        <v>1</v>
      </c>
      <c r="BL129" s="3" t="s">
        <v>83</v>
      </c>
      <c r="BM129" s="3"/>
      <c r="BN129" s="3" t="str">
        <f>IF(BN118=1,5.25,"")</f>
        <v/>
      </c>
      <c r="BO129" s="3" t="str">
        <f>IF((N$8=BL129),BK129,"")</f>
        <v/>
      </c>
      <c r="BP129" s="3" t="str">
        <f>IFERROR(SMALL(BO$129:BO$133,BK129),"")</f>
        <v/>
      </c>
      <c r="BQ129" s="3">
        <v>177</v>
      </c>
      <c r="BR129" s="3" t="b">
        <f>IF(BP$129=BK129,N$10*(BQ129*BN129))</f>
        <v>0</v>
      </c>
      <c r="BS129" s="3" t="b">
        <f>IF(BP$129=BK129,N$11*(BQ129*BN129))</f>
        <v>0</v>
      </c>
      <c r="BT129" s="3">
        <f>((((BR129-BS129)/1000)*4281)*0.000001)*N6</f>
        <v>0</v>
      </c>
      <c r="BU129" s="2" t="s">
        <v>64</v>
      </c>
      <c r="BV129" s="2">
        <v>1</v>
      </c>
      <c r="BW129" s="3" t="s">
        <v>83</v>
      </c>
      <c r="BX129" s="3"/>
      <c r="BY129" s="3" t="str">
        <f>IF(BY118=1,5.25,"")</f>
        <v/>
      </c>
      <c r="BZ129" s="3" t="str">
        <f>IF((O$8=BW129),BV129,"")</f>
        <v/>
      </c>
      <c r="CA129" s="3" t="str">
        <f>IFERROR(SMALL(BZ$129:BZ$133,BV129),"")</f>
        <v/>
      </c>
      <c r="CB129" s="3">
        <v>177</v>
      </c>
      <c r="CC129" s="3" t="b">
        <f>IF(CA$129=BV129,O$10*(CB129*BY129))</f>
        <v>0</v>
      </c>
      <c r="CD129" s="3" t="b">
        <f>IF(CA$129=BV129,O$11*(CB129*BY129))</f>
        <v>0</v>
      </c>
      <c r="CE129" s="3">
        <f>((((CC129-CD129)/1000)*4281)*0.000001)*O6</f>
        <v>0</v>
      </c>
      <c r="CF129" s="2" t="s">
        <v>64</v>
      </c>
      <c r="CG129" s="2"/>
    </row>
    <row r="130" spans="6:85">
      <c r="F130" s="2">
        <v>2</v>
      </c>
      <c r="G130" s="3" t="s">
        <v>84</v>
      </c>
      <c r="H130" s="3"/>
      <c r="I130" s="3" t="str">
        <f>IF(N118=1,0.06442,IF(N118=2,0.326,IF(N118=3,0.207,IF(N118=4,0.189,IF(N118=5,0.008,IF(N118=6,0.008,IF(N118=7,0.008,IF(N118=8,0.008,""))))))))</f>
        <v/>
      </c>
      <c r="J130" s="3" t="str">
        <f t="shared" si="32"/>
        <v/>
      </c>
      <c r="K130" s="3" t="str">
        <f>IFERROR(SMALL(J$134:J$138,F130),"")</f>
        <v/>
      </c>
      <c r="L130" s="3">
        <v>101</v>
      </c>
      <c r="M130" s="3" t="b">
        <f>IF(K$129=F130,J$10*(L130*I130))</f>
        <v>0</v>
      </c>
      <c r="N130" s="3" t="b">
        <f>IF(K$129=F130,J$11*(L130*I130))</f>
        <v>0</v>
      </c>
      <c r="O130" s="3">
        <f>((((M130-N130)/1000)*23713)*0.000001)*J6</f>
        <v>0</v>
      </c>
      <c r="P130" s="2" t="s">
        <v>64</v>
      </c>
      <c r="Q130" s="2"/>
      <c r="R130" s="2"/>
      <c r="S130" s="2"/>
      <c r="U130" s="2">
        <v>2</v>
      </c>
      <c r="V130" s="3" t="s">
        <v>84</v>
      </c>
      <c r="W130" s="3"/>
      <c r="X130" s="3">
        <f>IF(AC118=1,0.06442,IF(AC118=2,0.326,IF(AC118=3,0.207,IF(AC118=4,0.189,IF(AC118=5,0.008,IF(AC118=6,0.008,IF(AC118=7,0.008,IF(AC118=8,0.008,""))))))))</f>
        <v>6.4420000000000005E-2</v>
      </c>
      <c r="Y130" s="3" t="str">
        <f>IF((K$8=V130),U130,"")</f>
        <v/>
      </c>
      <c r="Z130" s="3" t="str">
        <f>IFERROR(SMALL(Y$129:Y$133,U130),"")</f>
        <v/>
      </c>
      <c r="AA130" s="3">
        <v>101</v>
      </c>
      <c r="AB130" s="3" t="b">
        <f>IF(Z$129=U130,K$10*(AA130*X130))</f>
        <v>0</v>
      </c>
      <c r="AC130" s="3" t="b">
        <f>IF(Z$129=U130,K$11*(AA130*X130))</f>
        <v>0</v>
      </c>
      <c r="AD130" s="3">
        <f>((((AB130-AC130)/1000)*23713)*0.000001)*K6</f>
        <v>0</v>
      </c>
      <c r="AE130" s="2" t="s">
        <v>64</v>
      </c>
      <c r="AF130" s="2"/>
      <c r="AG130" s="2"/>
      <c r="AH130" s="2"/>
      <c r="AI130" s="2">
        <v>2</v>
      </c>
      <c r="AJ130" s="3" t="s">
        <v>84</v>
      </c>
      <c r="AK130" s="3"/>
      <c r="AL130" s="3" t="str">
        <f>IF(AQ118=1,0.06442,IF(AQ118=2,0.326,IF(AQ118=3,0.207,IF(AQ118=4,0.189,IF(AQ118=5,0.008,IF(AQ118=6,0.008,IF(AQ118=7,0.008,IF(AQ118=8,0.008,""))))))))</f>
        <v/>
      </c>
      <c r="AM130" s="3" t="str">
        <f>IF((L$8=AJ130),AI130,"")</f>
        <v/>
      </c>
      <c r="AN130" s="3" t="str">
        <f>IFERROR(SMALL(AM$129:AM$133,AI130),"")</f>
        <v/>
      </c>
      <c r="AO130" s="3">
        <v>101</v>
      </c>
      <c r="AP130" s="3" t="b">
        <f>IF(AN$129=AI130,L$10*(AO130*AL130))</f>
        <v>0</v>
      </c>
      <c r="AQ130" s="3" t="b">
        <f>IF(AN$129=AI130,L$11*(AO130*AL130))</f>
        <v>0</v>
      </c>
      <c r="AR130" s="3">
        <f>((((AP130-AQ130)/1000)*23713)*0.000001)*L6</f>
        <v>0</v>
      </c>
      <c r="AS130" s="2" t="s">
        <v>64</v>
      </c>
      <c r="AT130" s="2"/>
      <c r="AU130" s="2"/>
      <c r="AW130" s="2">
        <v>2</v>
      </c>
      <c r="AX130" s="3" t="s">
        <v>84</v>
      </c>
      <c r="AY130" s="3"/>
      <c r="AZ130" s="3" t="str">
        <f>IF(BE118=1,0.06442,IF(BE118=2,0.326,IF(BE118=3,0.207,IF(BE118=4,0.189,IF(BE118=5,0.008,IF(BE118=6,0.008,IF(BE118=7,0.008,IF(BE118=8,0.008,""))))))))</f>
        <v/>
      </c>
      <c r="BA130" s="3" t="str">
        <f>IF((M$8=AX130),AW130,"")</f>
        <v/>
      </c>
      <c r="BB130" s="3" t="str">
        <f>IFERROR(SMALL(BA$129:BA$133,AW130),"")</f>
        <v/>
      </c>
      <c r="BC130" s="3">
        <v>101</v>
      </c>
      <c r="BD130" s="3" t="b">
        <f>IF(BB$129=AW130,M$10*(BC130*AZ130))</f>
        <v>0</v>
      </c>
      <c r="BE130" s="3" t="b">
        <f>IF(BB$129=AW130,M$11*(BC130*AZ130))</f>
        <v>0</v>
      </c>
      <c r="BF130" s="3">
        <f>((((BD130-BE130)/1000)*23713)*0.000001)*M6</f>
        <v>0</v>
      </c>
      <c r="BG130" s="2" t="s">
        <v>64</v>
      </c>
      <c r="BH130" s="2"/>
      <c r="BK130" s="2">
        <v>2</v>
      </c>
      <c r="BL130" s="3" t="s">
        <v>84</v>
      </c>
      <c r="BM130" s="3"/>
      <c r="BN130" s="3" t="str">
        <f>IF(BS118=1,0.06442,IF(BS118=2,0.326,IF(BS118=3,0.207,IF(BS118=4,0.189,IF(BS118=5,0.008,IF(BS118=6,0.008,IF(BS118=7,0.008,IF(BS118=8,0.008,""))))))))</f>
        <v/>
      </c>
      <c r="BO130" s="3" t="str">
        <f>IF((N$8=BL130),BK130,"")</f>
        <v/>
      </c>
      <c r="BP130" s="3" t="str">
        <f>IFERROR(SMALL(BO$129:BO$133,BK130),"")</f>
        <v/>
      </c>
      <c r="BQ130" s="3">
        <v>101</v>
      </c>
      <c r="BR130" s="3" t="b">
        <f>IF(BP$129=BK130,N$10*(BQ130*BN130))</f>
        <v>0</v>
      </c>
      <c r="BS130" s="3" t="b">
        <f>IF(BP$129=BK130,N$11*(BQ130*BN130))</f>
        <v>0</v>
      </c>
      <c r="BT130" s="3">
        <f>((((BR130-BS130)/1000)*23713)*0.000001)*N6</f>
        <v>0</v>
      </c>
      <c r="BU130" s="2" t="s">
        <v>64</v>
      </c>
      <c r="BV130" s="2">
        <v>2</v>
      </c>
      <c r="BW130" s="3" t="s">
        <v>84</v>
      </c>
      <c r="BX130" s="3"/>
      <c r="BY130" s="3" t="str">
        <f>IF(CD118=1,0.06442,IF(CD118=2,0.326,IF(CD118=3,0.207,IF(CD118=4,0.189,IF(CD118=5,0.008,IF(CD118=6,0.008,IF(CD118=7,0.008,IF(CD118=8,0.008,""))))))))</f>
        <v/>
      </c>
      <c r="BZ130" s="3" t="str">
        <f>IF((O$8=BW130),BV130,"")</f>
        <v/>
      </c>
      <c r="CA130" s="3" t="str">
        <f>IFERROR(SMALL(BZ$129:BZ$133,BV130),"")</f>
        <v/>
      </c>
      <c r="CB130" s="3">
        <v>101</v>
      </c>
      <c r="CC130" s="3" t="b">
        <f>IF(CA$129=BV130,O$10*(CB130*BY130))</f>
        <v>0</v>
      </c>
      <c r="CD130" s="3" t="b">
        <f>IF(CA$129=BV130,O$11*(CB130*BY130))</f>
        <v>0</v>
      </c>
      <c r="CE130" s="3">
        <f>((((CC130-CD130)/1000)*23713)*0.000001)*O6</f>
        <v>0</v>
      </c>
      <c r="CF130" s="2" t="s">
        <v>64</v>
      </c>
      <c r="CG130" s="2"/>
    </row>
    <row r="131" spans="6:85">
      <c r="F131" s="2">
        <v>3</v>
      </c>
      <c r="G131" s="3" t="s">
        <v>85</v>
      </c>
      <c r="H131" s="3"/>
      <c r="I131" s="3" t="str">
        <f>(IF(N118=1,0.10771, IF(N118=2, 0.326, IF(N118=3, 0.207, IF(N118=4, 0.189, IF(N118=5, 0.008, IF(N118=6, 0.008, IF(N118=7, 0.008, IF(N118=8, 0.008,"")))))))))</f>
        <v/>
      </c>
      <c r="J131" s="3" t="str">
        <f t="shared" si="32"/>
        <v/>
      </c>
      <c r="K131" s="3" t="str">
        <f>IFERROR(SMALL(J$134:J$138,F131),"")</f>
        <v/>
      </c>
      <c r="L131" s="3">
        <v>155</v>
      </c>
      <c r="M131" s="3" t="b">
        <f>IF(K$129=F131,J$10*(L131*I131))</f>
        <v>0</v>
      </c>
      <c r="N131" s="3" t="b">
        <f>IF(K$129=F131,J$11*(L131*I131))</f>
        <v>0</v>
      </c>
      <c r="O131" s="3">
        <f>((((M131-N131)/1000)*56275)*0.000001)*J6</f>
        <v>0</v>
      </c>
      <c r="P131" s="2" t="s">
        <v>64</v>
      </c>
      <c r="Q131" s="2"/>
      <c r="R131" s="2"/>
      <c r="S131" s="2"/>
      <c r="U131" s="2">
        <v>3</v>
      </c>
      <c r="V131" s="3" t="s">
        <v>85</v>
      </c>
      <c r="W131" s="3"/>
      <c r="X131" s="3">
        <f>(IF(AC118=1,0.10771, IF(AC118=2, 0.326, IF(AC118=3, 0.207, IF(AC118=4, 0.189, IF(AC118=5, 0.008, IF(AC118=6, 0.008, IF(AC118=7, 0.008, IF(AC118=8, 0.008,"")))))))))</f>
        <v>0.10771</v>
      </c>
      <c r="Y131" s="3" t="str">
        <f>IF((K$8=V131),U131,"")</f>
        <v/>
      </c>
      <c r="Z131" s="3" t="str">
        <f>IFERROR(SMALL(Y$129:Y$133,U131),"")</f>
        <v/>
      </c>
      <c r="AA131" s="3">
        <v>155</v>
      </c>
      <c r="AB131" s="3" t="b">
        <f>IF(Z$129=U131,K$10*(AA131*X131))</f>
        <v>0</v>
      </c>
      <c r="AC131" s="3" t="b">
        <f>IF(Z$129=U131,K$11*(AA131*X131))</f>
        <v>0</v>
      </c>
      <c r="AD131" s="3">
        <f>((((AB131-AC131)/1000)*56275)*0.000001)*K6</f>
        <v>0</v>
      </c>
      <c r="AE131" s="2" t="s">
        <v>64</v>
      </c>
      <c r="AF131" s="2"/>
      <c r="AG131" s="2"/>
      <c r="AH131" s="2"/>
      <c r="AI131" s="2">
        <v>3</v>
      </c>
      <c r="AJ131" s="3" t="s">
        <v>85</v>
      </c>
      <c r="AK131" s="3"/>
      <c r="AL131" s="3" t="str">
        <f>(IF(AQ118=1,0.10771, IF(AQ118=2, 0.326, IF(AQ118=3, 0.207, IF(AQ118=4, 0.189, IF(AQ118=5, 0.008, IF(AQ118=6, 0.008, IF(AQ118=7, 0.008, IF(AQ118=8, 0.008,"")))))))))</f>
        <v/>
      </c>
      <c r="AM131" s="3" t="str">
        <f>IF((L$8=AJ131),AI131,"")</f>
        <v/>
      </c>
      <c r="AN131" s="3" t="str">
        <f>IFERROR(SMALL(AM$129:AM$133,AI131),"")</f>
        <v/>
      </c>
      <c r="AO131" s="3">
        <v>155</v>
      </c>
      <c r="AP131" s="3" t="b">
        <f>IF(AN$129=AI131,L$10*(AO131*AL131))</f>
        <v>0</v>
      </c>
      <c r="AQ131" s="3" t="b">
        <f>IF(AN$129=AI131,L$11*(AO131*AL131))</f>
        <v>0</v>
      </c>
      <c r="AR131" s="3">
        <f>((((AP131-AQ131)/1000)*56275)*0.000001)*L6</f>
        <v>0</v>
      </c>
      <c r="AS131" s="2" t="s">
        <v>64</v>
      </c>
      <c r="AT131" s="2"/>
      <c r="AU131" s="2"/>
      <c r="AW131" s="2">
        <v>3</v>
      </c>
      <c r="AX131" s="3" t="s">
        <v>85</v>
      </c>
      <c r="AY131" s="3"/>
      <c r="AZ131" s="3" t="str">
        <f>(IF(BE118=1,0.10771, IF(BE118=2, 0.326, IF(BE118=3, 0.207, IF(BE118=4, 0.189, IF(BE118=5, 0.008, IF(BE118=6, 0.008, IF(BE118=7, 0.008, IF(BE118=8, 0.008,"")))))))))</f>
        <v/>
      </c>
      <c r="BA131" s="3" t="str">
        <f>IF((M$8=AX131),AW131,"")</f>
        <v/>
      </c>
      <c r="BB131" s="3" t="str">
        <f>IFERROR(SMALL(BA$129:BA$133,AW131),"")</f>
        <v/>
      </c>
      <c r="BC131" s="3">
        <v>155</v>
      </c>
      <c r="BD131" s="3" t="b">
        <f>IF(BB$129=AW131,M$10*(BC131*AZ131))</f>
        <v>0</v>
      </c>
      <c r="BE131" s="3" t="b">
        <f>IF(BB$129=AW131,M$11*(BC131*AZ131))</f>
        <v>0</v>
      </c>
      <c r="BF131" s="3">
        <f>((((BD131-BE131)/1000)*56275)*0.000001)*M6</f>
        <v>0</v>
      </c>
      <c r="BG131" s="2" t="s">
        <v>64</v>
      </c>
      <c r="BH131" s="2"/>
      <c r="BK131" s="2">
        <v>3</v>
      </c>
      <c r="BL131" s="3" t="s">
        <v>85</v>
      </c>
      <c r="BM131" s="3"/>
      <c r="BN131" s="3" t="str">
        <f>(IF(BS118=1,0.10771, IF(BS118=2, 0.326, IF(BS118=3, 0.207, IF(BS118=4, 0.189, IF(BS118=5, 0.008, IF(BS118=6, 0.008, IF(BS118=7, 0.008, IF(BS118=8, 0.008,"")))))))))</f>
        <v/>
      </c>
      <c r="BO131" s="3" t="str">
        <f>IF((N$8=BL131),BK131,"")</f>
        <v/>
      </c>
      <c r="BP131" s="3" t="str">
        <f>IFERROR(SMALL(BO$129:BO$133,BK131),"")</f>
        <v/>
      </c>
      <c r="BQ131" s="3">
        <v>155</v>
      </c>
      <c r="BR131" s="3" t="b">
        <f>IF(BP$129=BK131,N$10*(BQ131*BN131))</f>
        <v>0</v>
      </c>
      <c r="BS131" s="3" t="b">
        <f>IF(BP$129=BK131,N$11*(BQ131*BN131))</f>
        <v>0</v>
      </c>
      <c r="BT131" s="3">
        <f>((((BR131-BS131)/1000)*56275)*0.000001)*N6</f>
        <v>0</v>
      </c>
      <c r="BU131" s="2" t="s">
        <v>64</v>
      </c>
      <c r="BV131" s="2">
        <v>3</v>
      </c>
      <c r="BW131" s="3" t="s">
        <v>85</v>
      </c>
      <c r="BX131" s="3"/>
      <c r="BY131" s="3" t="str">
        <f>(IF(CD118=1,0.10771, IF(CD118=2, 0.326, IF(CD118=3, 0.207, IF(CD118=4, 0.189, IF(CD118=5, 0.008, IF(CD118=6, 0.008, IF(CD118=7, 0.008, IF(CD118=8, 0.008,"")))))))))</f>
        <v/>
      </c>
      <c r="BZ131" s="3" t="str">
        <f>IF((O$8=BW131),BV131,"")</f>
        <v/>
      </c>
      <c r="CA131" s="3" t="str">
        <f>IFERROR(SMALL(BZ$129:BZ$133,BV131),"")</f>
        <v/>
      </c>
      <c r="CB131" s="3">
        <v>155</v>
      </c>
      <c r="CC131" s="3" t="b">
        <f>IF(CA$129=BV131,O$10*(CB131*BY131))</f>
        <v>0</v>
      </c>
      <c r="CD131" s="3" t="b">
        <f>IF(CA$129=BV131,O$11*(CB131*BY131))</f>
        <v>0</v>
      </c>
      <c r="CE131" s="3">
        <f>((((CC131-CD131)/1000)*56275)*0.000001)*O6</f>
        <v>0</v>
      </c>
      <c r="CF131" s="2" t="s">
        <v>64</v>
      </c>
      <c r="CG131" s="2"/>
    </row>
    <row r="132" spans="6:85">
      <c r="F132" s="2">
        <v>4</v>
      </c>
      <c r="G132" s="3" t="s">
        <v>86</v>
      </c>
      <c r="H132" s="3"/>
      <c r="I132" s="3" t="str">
        <f>IF(N118=1,0.151, IF(N118=2, 0.449, IF(N118=3, 0.29, IF(N118=4, 0.278, IF(N118=5, 0.01, IF(N118=6, 0.01, IF(N118=7, 0.01, IF(N118=8,0.01,""))))))))</f>
        <v/>
      </c>
      <c r="J132" s="3" t="str">
        <f t="shared" si="32"/>
        <v/>
      </c>
      <c r="K132" s="3" t="str">
        <f>IFERROR(SMALL(J$134:J$138,F132),"")</f>
        <v/>
      </c>
      <c r="L132" s="3">
        <v>210</v>
      </c>
      <c r="M132" s="3" t="b">
        <f>IF(K$129=F132,J$10*(L132*I132))</f>
        <v>0</v>
      </c>
      <c r="N132" s="3" t="b">
        <f>IF(K$129=F132,J$11*(L132*I132))</f>
        <v>0</v>
      </c>
      <c r="O132" s="3">
        <f>((((M132-N132)/1000)*56275)*0.000001)*J6</f>
        <v>0</v>
      </c>
      <c r="P132" s="2" t="s">
        <v>64</v>
      </c>
      <c r="Q132" s="2"/>
      <c r="R132" s="2"/>
      <c r="S132" s="2"/>
      <c r="U132" s="2">
        <v>4</v>
      </c>
      <c r="V132" s="3" t="s">
        <v>86</v>
      </c>
      <c r="W132" s="3"/>
      <c r="X132" s="3">
        <f>IF(AC118=1,0.151, IF(AC118=2, 0.449, IF(AC118=3, 0.29, IF(AC118=4, 0.278, IF(AC118=5, 0.01, IF(AC118=6, 0.01, IF(AC118=7, 0.01, IF(AC118=8,0.01,""))))))))</f>
        <v>0.151</v>
      </c>
      <c r="Y132" s="3" t="str">
        <f>IF((K$8=V132),U132,"")</f>
        <v/>
      </c>
      <c r="Z132" s="3" t="str">
        <f>IFERROR(SMALL(Y$129:Y$133,U132),"")</f>
        <v/>
      </c>
      <c r="AA132" s="3">
        <v>210</v>
      </c>
      <c r="AB132" s="3" t="b">
        <f>IF(Z$129=U132,K$10*(AA132*X132))</f>
        <v>0</v>
      </c>
      <c r="AC132" s="3" t="b">
        <f>IF(Z$129=U132,K$11*(AA132*X132))</f>
        <v>0</v>
      </c>
      <c r="AD132" s="3">
        <f>((((AB132-AC132)/1000)*56275)*0.000001)*K6</f>
        <v>0</v>
      </c>
      <c r="AE132" s="2" t="s">
        <v>64</v>
      </c>
      <c r="AF132" s="2"/>
      <c r="AG132" s="2"/>
      <c r="AH132" s="2"/>
      <c r="AI132" s="2">
        <v>4</v>
      </c>
      <c r="AJ132" s="3" t="s">
        <v>86</v>
      </c>
      <c r="AK132" s="3"/>
      <c r="AL132" s="3" t="str">
        <f>IF(AQ118=1,0.151, IF(AQ118=2, 0.449, IF(AQ118=3, 0.29, IF(AQ118=4, 0.278, IF(AQ118=5, 0.01, IF(AQ118=6, 0.01, IF(AQ118=7, 0.01, IF(AQ118=8,0.01,""))))))))</f>
        <v/>
      </c>
      <c r="AM132" s="3" t="str">
        <f>IF((L$8=AJ132),AI132,"")</f>
        <v/>
      </c>
      <c r="AN132" s="3" t="str">
        <f>IFERROR(SMALL(AM$129:AM$133,AI132),"")</f>
        <v/>
      </c>
      <c r="AO132" s="3">
        <v>210</v>
      </c>
      <c r="AP132" s="3" t="b">
        <f>IF(AN$129=AI132,L$10*(AO132*AL132))</f>
        <v>0</v>
      </c>
      <c r="AQ132" s="3" t="b">
        <f>IF(AN$129=AI132,L$11*(AO132*AL132))</f>
        <v>0</v>
      </c>
      <c r="AR132" s="3">
        <f>((((AP132-AQ132)/1000)*56275)*0.000001)*L6</f>
        <v>0</v>
      </c>
      <c r="AS132" s="2" t="s">
        <v>64</v>
      </c>
      <c r="AT132" s="2"/>
      <c r="AU132" s="2"/>
      <c r="AW132" s="2">
        <v>4</v>
      </c>
      <c r="AX132" s="3" t="s">
        <v>86</v>
      </c>
      <c r="AY132" s="3"/>
      <c r="AZ132" s="3" t="str">
        <f>IF(BE118=1,0.151, IF(BE118=2, 0.449, IF(BE118=3, 0.29, IF(BE118=4, 0.278, IF(BE118=5, 0.01, IF(BE118=6, 0.01, IF(BE118=7, 0.01, IF(BE118=8,0.01,""))))))))</f>
        <v/>
      </c>
      <c r="BA132" s="3" t="str">
        <f>IF((M$8=AX132),AW132,"")</f>
        <v/>
      </c>
      <c r="BB132" s="3" t="str">
        <f>IFERROR(SMALL(BA$129:BA$133,AW132),"")</f>
        <v/>
      </c>
      <c r="BC132" s="3">
        <v>210</v>
      </c>
      <c r="BD132" s="3" t="b">
        <f>IF(BB$129=AW132,M$10*(BC132*AZ132))</f>
        <v>0</v>
      </c>
      <c r="BE132" s="3" t="b">
        <f>IF(BB$129=AW132,M$11*(BC132*AZ132))</f>
        <v>0</v>
      </c>
      <c r="BF132" s="3">
        <f>((((BD132-BE132)/1000)*56275)*0.000001)*M6</f>
        <v>0</v>
      </c>
      <c r="BG132" s="2" t="s">
        <v>64</v>
      </c>
      <c r="BH132" s="2"/>
      <c r="BK132" s="2">
        <v>4</v>
      </c>
      <c r="BL132" s="3" t="s">
        <v>86</v>
      </c>
      <c r="BM132" s="3"/>
      <c r="BN132" s="3" t="str">
        <f>IF(BS118=1,0.151, IF(BS118=2, 0.449, IF(BS118=3, 0.29, IF(BS118=4, 0.278, IF(BS118=5, 0.01, IF(BS118=6, 0.01, IF(BS118=7, 0.01, IF(BS118=8,0.01,""))))))))</f>
        <v/>
      </c>
      <c r="BO132" s="3" t="str">
        <f>IF((N$8=BL132),BK132,"")</f>
        <v/>
      </c>
      <c r="BP132" s="3" t="str">
        <f>IFERROR(SMALL(BO$129:BO$133,BK132),"")</f>
        <v/>
      </c>
      <c r="BQ132" s="3">
        <v>210</v>
      </c>
      <c r="BR132" s="3" t="b">
        <f>IF(BP$129=BK132,N$10*(BQ132*BN132))</f>
        <v>0</v>
      </c>
      <c r="BS132" s="3" t="b">
        <f>IF(BP$129=BK132,N$11*(BQ132*BN132))</f>
        <v>0</v>
      </c>
      <c r="BT132" s="3">
        <f>((((BR132-BS132)/1000)*56275)*0.000001)*N6</f>
        <v>0</v>
      </c>
      <c r="BU132" s="2" t="s">
        <v>64</v>
      </c>
      <c r="BV132" s="2">
        <v>4</v>
      </c>
      <c r="BW132" s="3" t="s">
        <v>86</v>
      </c>
      <c r="BX132" s="3"/>
      <c r="BY132" s="3" t="str">
        <f>IF(CD118=1,0.151, IF(CD118=2, 0.449, IF(CD118=3, 0.29, IF(CD118=4, 0.278, IF(CD118=5, 0.01, IF(CD118=6, 0.01, IF(CD118=7, 0.01, IF(CD118=8,0.01,""))))))))</f>
        <v/>
      </c>
      <c r="BZ132" s="3" t="str">
        <f>IF((O$8=BW132),BV132,"")</f>
        <v/>
      </c>
      <c r="CA132" s="3" t="str">
        <f>IFERROR(SMALL(BZ$129:BZ$133,BV132),"")</f>
        <v/>
      </c>
      <c r="CB132" s="3">
        <v>210</v>
      </c>
      <c r="CC132" s="3" t="b">
        <f>IF(CA$129=BV132,O$10*(CB132*BY132))</f>
        <v>0</v>
      </c>
      <c r="CD132" s="3" t="b">
        <f>IF(CA$129=BV132,O$11*(CB132*BY132))</f>
        <v>0</v>
      </c>
      <c r="CE132" s="3">
        <f>((((CC132-CD132)/1000)*56275)*0.000001)*O6</f>
        <v>0</v>
      </c>
      <c r="CF132" s="2" t="s">
        <v>64</v>
      </c>
      <c r="CG132" s="2"/>
    </row>
    <row r="133" spans="6:85">
      <c r="F133" s="2">
        <v>5</v>
      </c>
      <c r="G133" s="3" t="s">
        <v>87</v>
      </c>
      <c r="H133" s="3"/>
      <c r="I133" s="3" t="str">
        <f>IF(N118=1,0.17028, IF(N118=2, 0.51, IF(N118=3, 0.326, IF(N118=4, 0.308, IF(N118=5, 0.012, IF(N118=6, 0.012, IF(N118=7, 0.012, IF(N118=8, 0.012,""))))))))</f>
        <v/>
      </c>
      <c r="J133" s="3" t="str">
        <f t="shared" si="32"/>
        <v/>
      </c>
      <c r="K133" s="3" t="str">
        <f>IFERROR(SMALL(J$134:J$138,F133),"")</f>
        <v/>
      </c>
      <c r="L133" s="3">
        <v>251</v>
      </c>
      <c r="M133" s="3" t="b">
        <f>IF(K$129=F133,J$10*(L133*I133))</f>
        <v>0</v>
      </c>
      <c r="N133" s="3" t="b">
        <f>IF(K$129=F133,J$11*(L133*I133))</f>
        <v>0</v>
      </c>
      <c r="O133" s="3">
        <f>((((M133-N133)/1000)*56275)*0.000001)*J6</f>
        <v>0</v>
      </c>
      <c r="P133" s="2" t="s">
        <v>64</v>
      </c>
      <c r="Q133" s="2"/>
      <c r="R133" s="2"/>
      <c r="S133" s="2"/>
      <c r="U133" s="2">
        <v>5</v>
      </c>
      <c r="V133" s="3" t="s">
        <v>87</v>
      </c>
      <c r="W133" s="3"/>
      <c r="X133" s="3">
        <f>IF(AC118=1,0.17028, IF(AC118=2, 0.51, IF(AC118=3, 0.326, IF(AC118=4, 0.308, IF(AC118=5, 0.012, IF(AC118=6, 0.012, IF(AC118=7, 0.012, IF(AC118=8, 0.012,""))))))))</f>
        <v>0.17027999999999999</v>
      </c>
      <c r="Y133" s="3" t="str">
        <f>IF((K$8=V133),U133,"")</f>
        <v/>
      </c>
      <c r="Z133" s="3" t="str">
        <f>IFERROR(SMALL(Y$129:Y$133,U133),"")</f>
        <v/>
      </c>
      <c r="AA133" s="3">
        <v>251</v>
      </c>
      <c r="AB133" s="3" t="b">
        <f>IF(Z$129=U133,K$10*(AA133*X133))</f>
        <v>0</v>
      </c>
      <c r="AC133" s="3" t="b">
        <f>IF(Z$129=U133,K$11*(AA133*X133))</f>
        <v>0</v>
      </c>
      <c r="AD133" s="3">
        <f>((((AB133-AC133)/1000)*56275)*0.000001)*K6</f>
        <v>0</v>
      </c>
      <c r="AE133" s="2" t="s">
        <v>64</v>
      </c>
      <c r="AF133" s="2"/>
      <c r="AG133" s="2"/>
      <c r="AH133" s="2"/>
      <c r="AI133" s="2">
        <v>5</v>
      </c>
      <c r="AJ133" s="3" t="s">
        <v>87</v>
      </c>
      <c r="AK133" s="3"/>
      <c r="AL133" s="3" t="str">
        <f>IF(AQ118=1,0.17028, IF(AQ118=2, 0.51, IF(AQ118=3, 0.326, IF(AQ118=4, 0.308, IF(AQ118=5, 0.012, IF(AQ118=6, 0.012, IF(AQ118=7, 0.012, IF(AQ118=8, 0.012,""))))))))</f>
        <v/>
      </c>
      <c r="AM133" s="3" t="str">
        <f>IF((L$8=AJ133),AI133,"")</f>
        <v/>
      </c>
      <c r="AN133" s="3" t="str">
        <f>IFERROR(SMALL(AM$129:AM$133,AI133),"")</f>
        <v/>
      </c>
      <c r="AO133" s="3">
        <v>251</v>
      </c>
      <c r="AP133" s="3" t="b">
        <f>IF(AN$129=AI133,L$10*(AO133*AL133))</f>
        <v>0</v>
      </c>
      <c r="AQ133" s="3" t="b">
        <f>IF(AN$129=AI133,L$11*(AO133*AL133))</f>
        <v>0</v>
      </c>
      <c r="AR133" s="3">
        <f>((((AP133-AQ133)/1000)*56275)*0.000001)*L6</f>
        <v>0</v>
      </c>
      <c r="AS133" s="2" t="s">
        <v>64</v>
      </c>
      <c r="AT133" s="2"/>
      <c r="AU133" s="2"/>
      <c r="AW133" s="2">
        <v>5</v>
      </c>
      <c r="AX133" s="3" t="s">
        <v>87</v>
      </c>
      <c r="AY133" s="3"/>
      <c r="AZ133" s="3" t="str">
        <f>IF(BE118=1,0.17028, IF(BE118=2, 0.51, IF(BE118=3, 0.326, IF(BE118=4, 0.308, IF(BE118=5, 0.012, IF(BE118=6, 0.012, IF(BE118=7, 0.012, IF(BE118=8, 0.012,""))))))))</f>
        <v/>
      </c>
      <c r="BA133" s="3" t="str">
        <f>IF((M$8=AX133),AW133,"")</f>
        <v/>
      </c>
      <c r="BB133" s="3" t="str">
        <f>IFERROR(SMALL(BA$129:BA$133,AW133),"")</f>
        <v/>
      </c>
      <c r="BC133" s="3">
        <v>251</v>
      </c>
      <c r="BD133" s="3" t="b">
        <f>IF(BB$129=AW133,M$10*(BC133*AZ133))</f>
        <v>0</v>
      </c>
      <c r="BE133" s="3" t="b">
        <f>IF(BB$129=AW133,M$11*(BC133*AZ133))</f>
        <v>0</v>
      </c>
      <c r="BF133" s="3">
        <f>((((BD133-BE133)/1000)*56275)*0.000001)*M6</f>
        <v>0</v>
      </c>
      <c r="BG133" s="2" t="s">
        <v>64</v>
      </c>
      <c r="BH133" s="2"/>
      <c r="BK133" s="2">
        <v>5</v>
      </c>
      <c r="BL133" s="3" t="s">
        <v>87</v>
      </c>
      <c r="BM133" s="3"/>
      <c r="BN133" s="3" t="str">
        <f>IF(BS118=1,0.17028, IF(BS118=2, 0.51, IF(BS118=3, 0.326, IF(BS118=4, 0.308, IF(BS118=5, 0.012, IF(BS118=6, 0.012, IF(BS118=7, 0.012, IF(BS118=8, 0.012,""))))))))</f>
        <v/>
      </c>
      <c r="BO133" s="3" t="str">
        <f>IF((N$8=BL133),BK133,"")</f>
        <v/>
      </c>
      <c r="BP133" s="3" t="str">
        <f>IFERROR(SMALL(BO$129:BO$133,BK133),"")</f>
        <v/>
      </c>
      <c r="BQ133" s="3">
        <v>251</v>
      </c>
      <c r="BR133" s="3" t="b">
        <f>IF(BP$129=BK133,N$10*(BQ133*BN133))</f>
        <v>0</v>
      </c>
      <c r="BS133" s="3" t="b">
        <f>IF(BP$129=BK133,N$11*(BQ133*BN133))</f>
        <v>0</v>
      </c>
      <c r="BT133" s="3">
        <f>((((BR133-BS133)/1000)*56275)*0.000001)*N6</f>
        <v>0</v>
      </c>
      <c r="BU133" s="2" t="s">
        <v>64</v>
      </c>
      <c r="BV133" s="2">
        <v>5</v>
      </c>
      <c r="BW133" s="3" t="s">
        <v>87</v>
      </c>
      <c r="BX133" s="3"/>
      <c r="BY133" s="3" t="str">
        <f>IF(CD118=1,0.17028, IF(CD118=2, 0.51, IF(CD118=3, 0.326, IF(CD118=4, 0.308, IF(CD118=5, 0.012, IF(CD118=6, 0.012, IF(CD118=7, 0.012, IF(CD118=8, 0.012,""))))))))</f>
        <v/>
      </c>
      <c r="BZ133" s="3" t="str">
        <f>IF((O$8=BW133),BV133,"")</f>
        <v/>
      </c>
      <c r="CA133" s="3" t="str">
        <f>IFERROR(SMALL(BZ$129:BZ$133,BV133),"")</f>
        <v/>
      </c>
      <c r="CB133" s="3">
        <v>251</v>
      </c>
      <c r="CC133" s="3" t="b">
        <f>IF(CA$129=BV133,O$10*(CB133*BY133))</f>
        <v>0</v>
      </c>
      <c r="CD133" s="3" t="b">
        <f>IF(CA$129=BV133,O$11*(CB133*BY133))</f>
        <v>0</v>
      </c>
      <c r="CE133" s="3">
        <f>((((CC133-CD133)/1000)*56275)*0.000001)*O6</f>
        <v>0</v>
      </c>
      <c r="CF133" s="2" t="s">
        <v>64</v>
      </c>
      <c r="CG133" s="2"/>
    </row>
    <row r="134" spans="6:85">
      <c r="F134" s="2">
        <v>6</v>
      </c>
      <c r="G134" s="17" t="s">
        <v>13</v>
      </c>
      <c r="H134" s="2"/>
      <c r="I134" s="2"/>
      <c r="J134" s="2" t="str">
        <f t="shared" si="32"/>
        <v/>
      </c>
      <c r="K134" s="2" t="str">
        <f>IFERROR(SMALL(J$134:J$138,F134),"")</f>
        <v/>
      </c>
      <c r="L134" s="2"/>
      <c r="M134" s="2"/>
      <c r="N134" s="2"/>
      <c r="O134" s="2"/>
      <c r="P134" s="2"/>
      <c r="Q134" s="2"/>
      <c r="R134" s="2"/>
      <c r="S134" s="2"/>
      <c r="U134" s="2"/>
      <c r="V134" s="2"/>
      <c r="W134" s="2"/>
      <c r="X134" s="2"/>
      <c r="Y134" s="2"/>
      <c r="Z134" s="2"/>
      <c r="AA134" s="2"/>
      <c r="AB134" s="2"/>
      <c r="AC134" s="2"/>
      <c r="AD134" s="2"/>
      <c r="AE134" s="2"/>
      <c r="AF134" s="2"/>
      <c r="AG134" s="2"/>
      <c r="AH134" s="2"/>
      <c r="AI134" s="2"/>
      <c r="AJ134" s="2"/>
      <c r="AK134" s="2"/>
      <c r="AL134" s="2"/>
      <c r="AM134" s="2"/>
      <c r="AN134" s="2"/>
      <c r="AO134" s="2"/>
      <c r="AP134" s="2"/>
      <c r="AQ134" s="2"/>
      <c r="AR134" s="2"/>
      <c r="AS134" s="2"/>
      <c r="AT134" s="2"/>
      <c r="AU134" s="2"/>
      <c r="AW134" s="2"/>
      <c r="AX134" s="2"/>
      <c r="AY134" s="2"/>
      <c r="AZ134" s="2"/>
      <c r="BA134" s="2"/>
      <c r="BB134" s="2"/>
      <c r="BC134" s="2"/>
      <c r="BD134" s="2"/>
      <c r="BE134" s="2"/>
      <c r="BF134" s="2"/>
      <c r="BG134" s="2"/>
      <c r="BH134" s="2"/>
      <c r="BK134" s="2"/>
      <c r="BL134" s="2"/>
      <c r="BM134" s="2"/>
      <c r="BN134" s="2"/>
      <c r="BO134" s="2"/>
      <c r="BP134" s="2"/>
      <c r="BQ134" s="2"/>
      <c r="BR134" s="2"/>
      <c r="BS134" s="2"/>
      <c r="BT134" s="2"/>
      <c r="BU134" s="2"/>
      <c r="BV134" s="2"/>
      <c r="BW134" s="2"/>
      <c r="BX134" s="2"/>
      <c r="BY134" s="2"/>
      <c r="BZ134" s="2"/>
      <c r="CA134" s="2"/>
      <c r="CB134" s="2"/>
      <c r="CC134" s="2"/>
      <c r="CD134" s="2"/>
      <c r="CE134" s="2"/>
      <c r="CF134" s="2"/>
      <c r="CG134" s="2"/>
    </row>
    <row r="135" spans="6:85">
      <c r="F135" s="2"/>
      <c r="G135" s="2"/>
      <c r="H135" s="2"/>
      <c r="I135" s="12" t="s">
        <v>70</v>
      </c>
      <c r="J135" s="2" t="s">
        <v>58</v>
      </c>
      <c r="K135" s="2" t="s">
        <v>58</v>
      </c>
      <c r="L135" s="12" t="s">
        <v>59</v>
      </c>
      <c r="M135" s="2" t="s">
        <v>60</v>
      </c>
      <c r="N135" s="2" t="s">
        <v>61</v>
      </c>
      <c r="O135" s="2" t="s">
        <v>62</v>
      </c>
      <c r="P135" s="2"/>
      <c r="Q135" s="2"/>
      <c r="R135" s="2"/>
      <c r="S135" s="2"/>
      <c r="U135" s="2"/>
      <c r="V135" s="2"/>
      <c r="W135" s="2"/>
      <c r="X135" s="12" t="s">
        <v>70</v>
      </c>
      <c r="Y135" s="2" t="s">
        <v>58</v>
      </c>
      <c r="Z135" s="2" t="s">
        <v>58</v>
      </c>
      <c r="AA135" s="12" t="s">
        <v>59</v>
      </c>
      <c r="AB135" s="2" t="s">
        <v>60</v>
      </c>
      <c r="AC135" s="2" t="s">
        <v>61</v>
      </c>
      <c r="AD135" s="2" t="s">
        <v>62</v>
      </c>
      <c r="AE135" s="2"/>
      <c r="AF135" s="2"/>
      <c r="AG135" s="2"/>
      <c r="AH135" s="2"/>
      <c r="AI135" s="2"/>
      <c r="AJ135" s="2"/>
      <c r="AK135" s="2"/>
      <c r="AL135" s="12" t="s">
        <v>70</v>
      </c>
      <c r="AM135" s="2" t="s">
        <v>58</v>
      </c>
      <c r="AN135" s="2" t="s">
        <v>58</v>
      </c>
      <c r="AO135" s="12" t="s">
        <v>59</v>
      </c>
      <c r="AP135" s="2" t="s">
        <v>60</v>
      </c>
      <c r="AQ135" s="2" t="s">
        <v>61</v>
      </c>
      <c r="AR135" s="2" t="s">
        <v>62</v>
      </c>
      <c r="AS135" s="2"/>
      <c r="AT135" s="2"/>
      <c r="AU135" s="2"/>
      <c r="AW135" s="2"/>
      <c r="AX135" s="2"/>
      <c r="AY135" s="2"/>
      <c r="AZ135" s="12" t="s">
        <v>70</v>
      </c>
      <c r="BA135" s="2" t="s">
        <v>58</v>
      </c>
      <c r="BB135" s="2" t="s">
        <v>58</v>
      </c>
      <c r="BC135" s="12" t="s">
        <v>59</v>
      </c>
      <c r="BD135" s="2" t="s">
        <v>60</v>
      </c>
      <c r="BE135" s="2" t="s">
        <v>61</v>
      </c>
      <c r="BF135" s="2" t="s">
        <v>62</v>
      </c>
      <c r="BG135" s="2"/>
      <c r="BH135" s="2"/>
      <c r="BK135" s="2"/>
      <c r="BL135" s="2"/>
      <c r="BM135" s="2"/>
      <c r="BN135" s="12" t="s">
        <v>70</v>
      </c>
      <c r="BO135" s="2" t="s">
        <v>58</v>
      </c>
      <c r="BP135" s="2" t="s">
        <v>58</v>
      </c>
      <c r="BQ135" s="12" t="s">
        <v>59</v>
      </c>
      <c r="BR135" s="2" t="s">
        <v>60</v>
      </c>
      <c r="BS135" s="2" t="s">
        <v>61</v>
      </c>
      <c r="BT135" s="2" t="s">
        <v>62</v>
      </c>
      <c r="BU135" s="2"/>
      <c r="BV135" s="2"/>
      <c r="BW135" s="2"/>
      <c r="BX135" s="2"/>
      <c r="BY135" s="12" t="s">
        <v>70</v>
      </c>
      <c r="BZ135" s="2" t="s">
        <v>58</v>
      </c>
      <c r="CA135" s="2" t="s">
        <v>58</v>
      </c>
      <c r="CB135" s="12" t="s">
        <v>59</v>
      </c>
      <c r="CC135" s="2" t="s">
        <v>60</v>
      </c>
      <c r="CD135" s="2" t="s">
        <v>61</v>
      </c>
      <c r="CE135" s="2" t="s">
        <v>62</v>
      </c>
      <c r="CF135" s="2"/>
      <c r="CG135" s="2"/>
    </row>
    <row r="136" spans="6:85">
      <c r="F136" s="2">
        <v>1</v>
      </c>
      <c r="G136" s="3" t="s">
        <v>83</v>
      </c>
      <c r="H136" s="3"/>
      <c r="I136" s="3" t="str">
        <f>IF(I118=1,6.6,"")</f>
        <v/>
      </c>
      <c r="J136" s="3" t="str">
        <f>IF((J$8=G136),F136,"")</f>
        <v/>
      </c>
      <c r="K136" s="3" t="str">
        <f>IFERROR(SMALL(J$136:J$140,F136),"")</f>
        <v/>
      </c>
      <c r="L136" s="3">
        <v>177</v>
      </c>
      <c r="M136" s="3" t="b">
        <f>IF(K$136=F136,J$10*(L136*I136))</f>
        <v>0</v>
      </c>
      <c r="N136" s="3" t="b">
        <f>IF(K$136=F136,J$11*(L136*I136))</f>
        <v>0</v>
      </c>
      <c r="O136" s="3">
        <f>((((M136-N136)/1000)*4281)*0.000001)*J6</f>
        <v>0</v>
      </c>
      <c r="P136" s="2" t="s">
        <v>64</v>
      </c>
      <c r="Q136" s="2"/>
      <c r="R136" s="2"/>
      <c r="S136" s="2"/>
      <c r="U136" s="2">
        <v>1</v>
      </c>
      <c r="V136" s="3" t="s">
        <v>83</v>
      </c>
      <c r="W136" s="3"/>
      <c r="X136" s="3" t="str">
        <f>IF(X118=1,6.6,"")</f>
        <v/>
      </c>
      <c r="Y136" s="3" t="str">
        <f>IF((K$8=V136),U136,"")</f>
        <v/>
      </c>
      <c r="Z136" s="3" t="str">
        <f>IFERROR(SMALL(Y$136:Y$140,U136),"")</f>
        <v/>
      </c>
      <c r="AA136" s="3">
        <v>177</v>
      </c>
      <c r="AB136" s="3" t="b">
        <f>IF(Z$136=U136,K$10*(AA136*X136))</f>
        <v>0</v>
      </c>
      <c r="AC136" s="3" t="b">
        <f>IF(Z$136=U136,K$11*(AA136*X136))</f>
        <v>0</v>
      </c>
      <c r="AD136" s="3">
        <f>((((AB136-AC136)/1000)*4281)*0.000001)*K6</f>
        <v>0</v>
      </c>
      <c r="AE136" s="2" t="s">
        <v>64</v>
      </c>
      <c r="AF136" s="2"/>
      <c r="AG136" s="2"/>
      <c r="AH136" s="2"/>
      <c r="AI136" s="2">
        <v>1</v>
      </c>
      <c r="AJ136" s="3" t="s">
        <v>83</v>
      </c>
      <c r="AK136" s="3"/>
      <c r="AL136" s="3" t="str">
        <f>IF(AL118=1,6.6,"")</f>
        <v/>
      </c>
      <c r="AM136" s="3" t="str">
        <f>IF((L$8=AJ136),AI136,"")</f>
        <v/>
      </c>
      <c r="AN136" s="3" t="str">
        <f>IFERROR(SMALL(AM$136:AM$140,AI136),"")</f>
        <v/>
      </c>
      <c r="AO136" s="3">
        <v>177</v>
      </c>
      <c r="AP136" s="3" t="b">
        <f>IF(AN$136=AI136,L$10*(AO136*AL136))</f>
        <v>0</v>
      </c>
      <c r="AQ136" s="3" t="b">
        <f>IF(AN$136=AI136,L$11*(AO136*AL136))</f>
        <v>0</v>
      </c>
      <c r="AR136" s="3">
        <f>((((AP136-AQ136)/1000)*4281)*0.000001)*L6</f>
        <v>0</v>
      </c>
      <c r="AS136" s="2" t="s">
        <v>64</v>
      </c>
      <c r="AT136" s="2"/>
      <c r="AU136" s="2"/>
      <c r="AW136" s="2">
        <v>1</v>
      </c>
      <c r="AX136" s="3" t="s">
        <v>83</v>
      </c>
      <c r="AY136" s="3"/>
      <c r="AZ136" s="3" t="str">
        <f>IF(AZ118=1,6.6,"")</f>
        <v/>
      </c>
      <c r="BA136" s="3" t="str">
        <f>IF((M$8=AX136),AW136,"")</f>
        <v/>
      </c>
      <c r="BB136" s="3" t="str">
        <f>IFERROR(SMALL(BA$136:BA$140,AW136),"")</f>
        <v/>
      </c>
      <c r="BC136" s="3">
        <v>177</v>
      </c>
      <c r="BD136" s="3" t="b">
        <f>IF(BB$136=AW136,M$10*(BC136*AZ136))</f>
        <v>0</v>
      </c>
      <c r="BE136" s="3" t="b">
        <f>IF(BB$136=AW136,M$11*(BC136*AZ136))</f>
        <v>0</v>
      </c>
      <c r="BF136" s="3">
        <f>((((BD136-BE136)/1000)*4281)*0.000001)*M6</f>
        <v>0</v>
      </c>
      <c r="BG136" s="2" t="s">
        <v>64</v>
      </c>
      <c r="BH136" s="2"/>
      <c r="BK136" s="2">
        <v>1</v>
      </c>
      <c r="BL136" s="3" t="s">
        <v>83</v>
      </c>
      <c r="BM136" s="3"/>
      <c r="BN136" s="3" t="str">
        <f>IF(BN118=1,6.6,"")</f>
        <v/>
      </c>
      <c r="BO136" s="3" t="str">
        <f>IF((N$8=BL136),BK136,"")</f>
        <v/>
      </c>
      <c r="BP136" s="3" t="str">
        <f>IFERROR(SMALL(BO$136:BO$140,BK136),"")</f>
        <v/>
      </c>
      <c r="BQ136" s="3">
        <v>177</v>
      </c>
      <c r="BR136" s="3" t="b">
        <f>IF(BP$136=BK136,N$10*(BQ136*BN136))</f>
        <v>0</v>
      </c>
      <c r="BS136" s="3" t="b">
        <f>IF(BP$136=BK136,N$11*(BQ136*BN136))</f>
        <v>0</v>
      </c>
      <c r="BT136" s="3">
        <f>((((BR136-BS136)/1000)*4281)*0.000001)*N6</f>
        <v>0</v>
      </c>
      <c r="BU136" s="2" t="s">
        <v>64</v>
      </c>
      <c r="BV136" s="2">
        <v>1</v>
      </c>
      <c r="BW136" s="3" t="s">
        <v>83</v>
      </c>
      <c r="BX136" s="3"/>
      <c r="BY136" s="3" t="str">
        <f>IF(BY118=1,6.6,"")</f>
        <v/>
      </c>
      <c r="BZ136" s="3" t="str">
        <f>IF((O$8=BW136),BV136,"")</f>
        <v/>
      </c>
      <c r="CA136" s="3" t="str">
        <f>IFERROR(SMALL(BZ$136:BZ$140,BV136),"")</f>
        <v/>
      </c>
      <c r="CB136" s="3">
        <v>177</v>
      </c>
      <c r="CC136" s="3" t="b">
        <f>IF(CA$136=BV136,O$10*(CB136*BY136))</f>
        <v>0</v>
      </c>
      <c r="CD136" s="3" t="b">
        <f>IF(CA$136=BV136,O$11*(CB136*BY136))</f>
        <v>0</v>
      </c>
      <c r="CE136" s="3">
        <f>((((CC136-CD136)/1000)*4281)*0.000001)*O6</f>
        <v>0</v>
      </c>
      <c r="CF136" s="2" t="s">
        <v>64</v>
      </c>
      <c r="CG136" s="2"/>
    </row>
    <row r="137" spans="6:85">
      <c r="F137" s="2">
        <v>2</v>
      </c>
      <c r="G137" s="3" t="s">
        <v>84</v>
      </c>
      <c r="H137" s="3"/>
      <c r="I137" s="3" t="str">
        <f>IF(N118=1,0.7747, IF(N118=2, 5.31, IF(N118=3, 5.5, IF(N118=4, 4.3, IF(N118=5, 2.65, IF(N118=6, 1.51, IF(N118=7, 0.291, IF(N118=8, 0.291,""))))))))</f>
        <v/>
      </c>
      <c r="J137" s="3" t="str">
        <f>IF((J$8=G137),F137,"")</f>
        <v/>
      </c>
      <c r="K137" s="3" t="str">
        <f>IFERROR(SMALL(J$136:J$140,F137),"")</f>
        <v/>
      </c>
      <c r="L137" s="3">
        <v>101</v>
      </c>
      <c r="M137" s="3" t="b">
        <f>IF(K$136=F137,J$10*(L137*I137))</f>
        <v>0</v>
      </c>
      <c r="N137" s="3" t="b">
        <f>IF(K$136=F137,J$11*(L137*I137))</f>
        <v>0</v>
      </c>
      <c r="O137" s="3">
        <f>((((M137-N137)/1000)*23713)*0.000001)*J6</f>
        <v>0</v>
      </c>
      <c r="P137" s="2" t="s">
        <v>64</v>
      </c>
      <c r="Q137" s="2"/>
      <c r="R137" s="2"/>
      <c r="S137" s="2"/>
      <c r="U137" s="2">
        <v>2</v>
      </c>
      <c r="V137" s="3" t="s">
        <v>84</v>
      </c>
      <c r="W137" s="3"/>
      <c r="X137" s="3">
        <f>IF(AC118=1,0.7747, IF(AC118=2, 5.31, IF(AC118=3, 5.5, IF(AC118=4, 4.3, IF(AC118=5, 2.65, IF(AC118=6, 1.51, IF(AC118=7, 0.291, IF(AC118=8, 0.291,""))))))))</f>
        <v>0.77470000000000006</v>
      </c>
      <c r="Y137" s="3" t="str">
        <f>IF((K$8=V137),U137,"")</f>
        <v/>
      </c>
      <c r="Z137" s="3" t="str">
        <f>IFERROR(SMALL(Y$136:Y$140,U137),"")</f>
        <v/>
      </c>
      <c r="AA137" s="3">
        <v>101</v>
      </c>
      <c r="AB137" s="3" t="b">
        <f>IF(Z$136=U137,K$10*(AA137*X137))</f>
        <v>0</v>
      </c>
      <c r="AC137" s="3" t="b">
        <f>IF(Z$136=U137,K$11*(AA137*X137))</f>
        <v>0</v>
      </c>
      <c r="AD137" s="3">
        <f>((((AB137-AC137)/1000)*23713)*0.000001)*K6</f>
        <v>0</v>
      </c>
      <c r="AE137" s="2" t="s">
        <v>64</v>
      </c>
      <c r="AF137" s="2"/>
      <c r="AG137" s="2"/>
      <c r="AH137" s="2"/>
      <c r="AI137" s="2">
        <v>2</v>
      </c>
      <c r="AJ137" s="3" t="s">
        <v>84</v>
      </c>
      <c r="AK137" s="3"/>
      <c r="AL137" s="3" t="str">
        <f>IF(AQ118=1,0.7747, IF(AQ118=2, 5.31, IF(AQ118=3, 5.5, IF(AQ118=4, 4.3, IF(AQ118=5, 2.65, IF(AQ118=6, 1.51, IF(AQ118=7, 0.291, IF(AQ118=8, 0.291,""))))))))</f>
        <v/>
      </c>
      <c r="AM137" s="3" t="str">
        <f>IF((L$8=AJ137),AI137,"")</f>
        <v/>
      </c>
      <c r="AN137" s="3" t="str">
        <f>IFERROR(SMALL(AM$136:AM$140,AI137),"")</f>
        <v/>
      </c>
      <c r="AO137" s="3">
        <v>101</v>
      </c>
      <c r="AP137" s="3" t="b">
        <f>IF(AN$136=AI137,L$10*(AO137*AL137))</f>
        <v>0</v>
      </c>
      <c r="AQ137" s="3" t="b">
        <f>IF(AN$136=AI137,L$11*(AO137*AL137))</f>
        <v>0</v>
      </c>
      <c r="AR137" s="3">
        <f>((((AP137-AQ137)/1000)*23713)*0.000001)*L6</f>
        <v>0</v>
      </c>
      <c r="AS137" s="2" t="s">
        <v>64</v>
      </c>
      <c r="AT137" s="2"/>
      <c r="AU137" s="2"/>
      <c r="AW137" s="2">
        <v>2</v>
      </c>
      <c r="AX137" s="3" t="s">
        <v>84</v>
      </c>
      <c r="AY137" s="3"/>
      <c r="AZ137" s="3" t="str">
        <f>IF(BE118=1,0.7747, IF(BE118=2, 5.31, IF(BE118=3, 5.5, IF(BE118=4, 4.3, IF(BE118=5, 2.65, IF(BE118=6, 1.51, IF(BE118=7, 0.291, IF(BE118=8, 0.291,""))))))))</f>
        <v/>
      </c>
      <c r="BA137" s="3" t="str">
        <f>IF((M$8=AX137),AW137,"")</f>
        <v/>
      </c>
      <c r="BB137" s="3" t="str">
        <f>IFERROR(SMALL(BA$136:BA$140,AW137),"")</f>
        <v/>
      </c>
      <c r="BC137" s="3">
        <v>101</v>
      </c>
      <c r="BD137" s="3" t="b">
        <f>IF(BB$136=AW137,M$10*(BC137*AZ137))</f>
        <v>0</v>
      </c>
      <c r="BE137" s="3" t="b">
        <f>IF(BB$136=AW137,M$11*(BC137*AZ137))</f>
        <v>0</v>
      </c>
      <c r="BF137" s="3">
        <f>((((BD137-BE137)/1000)*23713)*0.000001)*M6</f>
        <v>0</v>
      </c>
      <c r="BG137" s="2" t="s">
        <v>64</v>
      </c>
      <c r="BH137" s="2"/>
      <c r="BK137" s="2">
        <v>2</v>
      </c>
      <c r="BL137" s="3" t="s">
        <v>84</v>
      </c>
      <c r="BM137" s="3"/>
      <c r="BN137" s="3" t="str">
        <f>IF(BS118=1,0.7747, IF(BS118=2, 5.31, IF(BS118=3, 5.5, IF(BS118=4, 4.3, IF(BS118=5, 2.65, IF(BS118=6, 1.51, IF(BS118=7, 0.291, IF(BS118=8, 0.291,""))))))))</f>
        <v/>
      </c>
      <c r="BO137" s="3" t="str">
        <f>IF((N$8=BL137),BK137,"")</f>
        <v/>
      </c>
      <c r="BP137" s="3" t="str">
        <f>IFERROR(SMALL(BO$136:BO$140,BK137),"")</f>
        <v/>
      </c>
      <c r="BQ137" s="3">
        <v>101</v>
      </c>
      <c r="BR137" s="3" t="b">
        <f>IF(BP$136=BK137,N$10*(BQ137*BN137))</f>
        <v>0</v>
      </c>
      <c r="BS137" s="3" t="b">
        <f>IF(BP$136=BK137,N$11*(BQ137*BN137))</f>
        <v>0</v>
      </c>
      <c r="BT137" s="3">
        <f>((((BR137-BS137)/1000)*23713)*0.000001)*N6</f>
        <v>0</v>
      </c>
      <c r="BU137" s="2" t="s">
        <v>64</v>
      </c>
      <c r="BV137" s="2">
        <v>2</v>
      </c>
      <c r="BW137" s="3" t="s">
        <v>84</v>
      </c>
      <c r="BX137" s="3"/>
      <c r="BY137" s="3" t="str">
        <f>IF(CD118=1,0.7747, IF(CD118=2, 5.31, IF(CD118=3, 5.5, IF(CD118=4, 4.3, IF(CD118=5, 2.65, IF(CD118=6, 1.51, IF(CD118=7, 0.291, IF(CD118=8, 0.291,""))))))))</f>
        <v/>
      </c>
      <c r="BZ137" s="3" t="str">
        <f>IF((O$8=BW137),BV137,"")</f>
        <v/>
      </c>
      <c r="CA137" s="3" t="str">
        <f>IFERROR(SMALL(BZ$136:BZ$140,BV137),"")</f>
        <v/>
      </c>
      <c r="CB137" s="3">
        <v>101</v>
      </c>
      <c r="CC137" s="3" t="b">
        <f>IF(CA$136=BV137,O$10*(CB137*BY137))</f>
        <v>0</v>
      </c>
      <c r="CD137" s="3" t="b">
        <f>IF(CA$136=BV137,O$11*(CB137*BY137))</f>
        <v>0</v>
      </c>
      <c r="CE137" s="3">
        <f>((((CC137-CD137)/1000)*23713)*0.000001)*O6</f>
        <v>0</v>
      </c>
      <c r="CF137" s="2" t="s">
        <v>64</v>
      </c>
      <c r="CG137" s="2"/>
    </row>
    <row r="138" spans="6:85">
      <c r="F138" s="2">
        <v>3</v>
      </c>
      <c r="G138" s="3" t="s">
        <v>85</v>
      </c>
      <c r="H138" s="3"/>
      <c r="I138" s="3" t="str">
        <f>IF(N118=1,2.836, IF(N118=2,5.31, IF(N118=3, 5.5, IF(N118=4, 4.3, IF(N118=5, 2.65, IF(N118=6, 1.51, IF(N118=7, 0.291, IF(N118=8, 0.291,""))))))))</f>
        <v/>
      </c>
      <c r="J138" s="3" t="str">
        <f>IF((J$8=G138),F138,"")</f>
        <v/>
      </c>
      <c r="K138" s="3" t="str">
        <f>IFERROR(SMALL(J$136:J$140,F138),"")</f>
        <v/>
      </c>
      <c r="L138" s="3">
        <v>155</v>
      </c>
      <c r="M138" s="3" t="b">
        <f>IF(K$136=F138,J$10*(L138*I138))</f>
        <v>0</v>
      </c>
      <c r="N138" s="3" t="b">
        <f>IF(K$136=F138,J$11*(L138*I138))</f>
        <v>0</v>
      </c>
      <c r="O138" s="3">
        <f>((((M138-N138)/1000)*56275)*0.000001)*J6</f>
        <v>0</v>
      </c>
      <c r="P138" s="2" t="s">
        <v>64</v>
      </c>
      <c r="Q138" s="2"/>
      <c r="R138" s="2"/>
      <c r="S138" s="2"/>
      <c r="U138" s="2">
        <v>3</v>
      </c>
      <c r="V138" s="3" t="s">
        <v>85</v>
      </c>
      <c r="W138" s="3"/>
      <c r="X138" s="3">
        <f>IF(AC118=1,2.836, IF(AC118=2,5.31, IF(AC118=3, 5.5, IF(AC118=4, 4.3, IF(AC118=5, 2.65, IF(AC118=6, 1.51, IF(AC118=7, 0.291, IF(AC118=8, 0.291,""))))))))</f>
        <v>2.8359999999999999</v>
      </c>
      <c r="Y138" s="3" t="str">
        <f>IF((K$8=V138),U138,"")</f>
        <v/>
      </c>
      <c r="Z138" s="3" t="str">
        <f>IFERROR(SMALL(Y$136:Y$140,U138),"")</f>
        <v/>
      </c>
      <c r="AA138" s="3">
        <v>155</v>
      </c>
      <c r="AB138" s="3" t="b">
        <f>IF(Z$136=U138,K$10*(AA138*X138))</f>
        <v>0</v>
      </c>
      <c r="AC138" s="3" t="b">
        <f>IF(Z$136=U138,K$11*(AA138*X138))</f>
        <v>0</v>
      </c>
      <c r="AD138" s="3">
        <f>((((AB138-AC138)/1000)*56275)*0.000001)*K6</f>
        <v>0</v>
      </c>
      <c r="AE138" s="2" t="s">
        <v>64</v>
      </c>
      <c r="AF138" s="2"/>
      <c r="AG138" s="2"/>
      <c r="AH138" s="2"/>
      <c r="AI138" s="2">
        <v>3</v>
      </c>
      <c r="AJ138" s="3" t="s">
        <v>85</v>
      </c>
      <c r="AK138" s="3"/>
      <c r="AL138" s="3" t="str">
        <f>IF(AQ118=1,2.836, IF(AQ118=2,5.31, IF(AQ118=3, 5.5, IF(AQ118=4, 4.3, IF(AQ118=5, 2.65, IF(AQ118=6, 1.51, IF(AQ118=7, 0.291, IF(AQ118=8, 0.291,""))))))))</f>
        <v/>
      </c>
      <c r="AM138" s="3" t="str">
        <f>IF((L$8=AJ138),AI138,"")</f>
        <v/>
      </c>
      <c r="AN138" s="3" t="str">
        <f>IFERROR(SMALL(AM$136:AM$140,AI138),"")</f>
        <v/>
      </c>
      <c r="AO138" s="3">
        <v>155</v>
      </c>
      <c r="AP138" s="3" t="b">
        <f>IF(AN$136=AI138,L$10*(AO138*AL138))</f>
        <v>0</v>
      </c>
      <c r="AQ138" s="3" t="b">
        <f>IF(AN$136=AI138,L$11*(AO138*AL138))</f>
        <v>0</v>
      </c>
      <c r="AR138" s="3">
        <f>((((AP138-AQ138)/1000)*56275)*0.000001)*L6</f>
        <v>0</v>
      </c>
      <c r="AS138" s="2" t="s">
        <v>64</v>
      </c>
      <c r="AT138" s="2"/>
      <c r="AU138" s="2"/>
      <c r="AW138" s="2">
        <v>3</v>
      </c>
      <c r="AX138" s="3" t="s">
        <v>85</v>
      </c>
      <c r="AY138" s="3"/>
      <c r="AZ138" s="3" t="str">
        <f>IF(BE118=1,2.836, IF(BE118=2,5.31, IF(BE118=3, 5.5, IF(BE118=4, 4.3, IF(BE118=5, 2.65, IF(BE118=6, 1.51, IF(BE118=7, 0.291, IF(BE118=8, 0.291,""))))))))</f>
        <v/>
      </c>
      <c r="BA138" s="3" t="str">
        <f>IF((M$8=AX138),AW138,"")</f>
        <v/>
      </c>
      <c r="BB138" s="3" t="str">
        <f>IFERROR(SMALL(BA$136:BA$140,AW138),"")</f>
        <v/>
      </c>
      <c r="BC138" s="3">
        <v>155</v>
      </c>
      <c r="BD138" s="3" t="b">
        <f>IF(BB$136=AW138,M$10*(BC138*AZ138))</f>
        <v>0</v>
      </c>
      <c r="BE138" s="3" t="b">
        <f>IF(BB$136=AW138,M$11*(BC138*AZ138))</f>
        <v>0</v>
      </c>
      <c r="BF138" s="3">
        <f>((((BD138-BE138)/1000)*56275)*0.000001)*M6</f>
        <v>0</v>
      </c>
      <c r="BG138" s="2" t="s">
        <v>64</v>
      </c>
      <c r="BH138" s="2"/>
      <c r="BK138" s="2">
        <v>3</v>
      </c>
      <c r="BL138" s="3" t="s">
        <v>85</v>
      </c>
      <c r="BM138" s="3"/>
      <c r="BN138" s="3" t="str">
        <f>IF(BS118=1,2.836, IF(BS118=2,5.31, IF(BS118=3, 5.5, IF(BS118=4, 4.3, IF(BS118=5, 2.65, IF(BS118=6, 1.51, IF(BS118=7, 0.291, IF(BS118=8, 0.291,""))))))))</f>
        <v/>
      </c>
      <c r="BO138" s="3" t="str">
        <f>IF((N$8=BL138),BK138,"")</f>
        <v/>
      </c>
      <c r="BP138" s="3" t="str">
        <f>IFERROR(SMALL(BO$136:BO$140,BK138),"")</f>
        <v/>
      </c>
      <c r="BQ138" s="3">
        <v>155</v>
      </c>
      <c r="BR138" s="3" t="b">
        <f>IF(BP$136=BK138,N$10*(BQ138*BN138))</f>
        <v>0</v>
      </c>
      <c r="BS138" s="3" t="b">
        <f>IF(BP$136=BK138,N$11*(BQ138*BN138))</f>
        <v>0</v>
      </c>
      <c r="BT138" s="3">
        <f>((((BR138-BS138)/1000)*56275)*0.000001)*N6</f>
        <v>0</v>
      </c>
      <c r="BU138" s="2" t="s">
        <v>64</v>
      </c>
      <c r="BV138" s="2">
        <v>3</v>
      </c>
      <c r="BW138" s="3" t="s">
        <v>85</v>
      </c>
      <c r="BX138" s="3"/>
      <c r="BY138" s="3" t="str">
        <f>IF(CD118=1,2.836, IF(CD118=2,5.31, IF(CD118=3, 5.5, IF(CD118=4, 4.3, IF(CD118=5, 2.65, IF(CD118=6, 1.51, IF(CD118=7, 0.291, IF(CD118=8, 0.291,""))))))))</f>
        <v/>
      </c>
      <c r="BZ138" s="3" t="str">
        <f>IF((O$8=BW138),BV138,"")</f>
        <v/>
      </c>
      <c r="CA138" s="3" t="str">
        <f>IFERROR(SMALL(BZ$136:BZ$140,BV138),"")</f>
        <v/>
      </c>
      <c r="CB138" s="3">
        <v>155</v>
      </c>
      <c r="CC138" s="3" t="b">
        <f>IF(CA$136=BV138,O$10*(CB138*BY138))</f>
        <v>0</v>
      </c>
      <c r="CD138" s="3" t="b">
        <f>IF(CA$136=BV138,O$11*(CB138*BY138))</f>
        <v>0</v>
      </c>
      <c r="CE138" s="3">
        <f>((((CC138-CD138)/1000)*56275)*0.000001)*O6</f>
        <v>0</v>
      </c>
      <c r="CF138" s="2" t="s">
        <v>64</v>
      </c>
      <c r="CG138" s="2"/>
    </row>
    <row r="139" spans="6:85">
      <c r="F139" s="2">
        <v>4</v>
      </c>
      <c r="G139" s="3" t="s">
        <v>86</v>
      </c>
      <c r="H139" s="3"/>
      <c r="I139" s="3" t="str">
        <f>IF(N118=1,4.0791, IF(N118=2, 7.52, IF(N118=3, 7.91, IF(N118=4, 6.27, IF(N118=5,3.83, IF(N118=6,2.18, IF(N118=7,0.422,IF(N118=8, 0.422,""))))))))</f>
        <v/>
      </c>
      <c r="J139" s="3" t="str">
        <f>IF((J$8=G139),F139,"")</f>
        <v/>
      </c>
      <c r="K139" s="3" t="str">
        <f>IFERROR(SMALL(J$136:J$140,F139),"")</f>
        <v/>
      </c>
      <c r="L139" s="3">
        <v>210</v>
      </c>
      <c r="M139" s="3" t="b">
        <f>IF(K$136=F139,J$10*(L139*I139))</f>
        <v>0</v>
      </c>
      <c r="N139" s="3" t="b">
        <f>IF(K$136=F139,J$11*(L139*I139))</f>
        <v>0</v>
      </c>
      <c r="O139" s="3">
        <f>((((M139-N139)/1000)*56275)*0.000001)*J6</f>
        <v>0</v>
      </c>
      <c r="P139" s="2" t="s">
        <v>64</v>
      </c>
      <c r="Q139" s="2"/>
      <c r="R139" s="2"/>
      <c r="S139" s="2"/>
      <c r="U139" s="2">
        <v>4</v>
      </c>
      <c r="V139" s="3" t="s">
        <v>86</v>
      </c>
      <c r="W139" s="3"/>
      <c r="X139" s="3">
        <f>IF(AC118=1,4.0791, IF(AC118=2, 7.52, IF(AC118=3, 7.91, IF(AC118=4, 6.27, IF(AC118=5,3.83, IF(AC118=6,2.18, IF(AC118=7,0.422,IF(AC118=8, 0.422,""))))))))</f>
        <v>4.0791000000000004</v>
      </c>
      <c r="Y139" s="3" t="str">
        <f>IF((K$8=V139),U139,"")</f>
        <v/>
      </c>
      <c r="Z139" s="3" t="str">
        <f>IFERROR(SMALL(Y$136:Y$140,U139),"")</f>
        <v/>
      </c>
      <c r="AA139" s="3">
        <v>210</v>
      </c>
      <c r="AB139" s="3" t="b">
        <f>IF(Z$136=U139,K$10*(AA139*X139))</f>
        <v>0</v>
      </c>
      <c r="AC139" s="3" t="b">
        <f>IF(Z$136=U139,K$11*(AA139*X139))</f>
        <v>0</v>
      </c>
      <c r="AD139" s="3">
        <f>((((AB139-AC139)/1000)*56275)*0.000001)*K6</f>
        <v>0</v>
      </c>
      <c r="AE139" s="2" t="s">
        <v>64</v>
      </c>
      <c r="AF139" s="2"/>
      <c r="AG139" s="2"/>
      <c r="AH139" s="2"/>
      <c r="AI139" s="2">
        <v>4</v>
      </c>
      <c r="AJ139" s="3" t="s">
        <v>86</v>
      </c>
      <c r="AK139" s="3"/>
      <c r="AL139" s="3" t="str">
        <f>IF(AQ118=1,4.0791, IF(AQ118=2, 7.52, IF(AQ118=3, 7.91, IF(AQ118=4, 6.27, IF(AQ118=5,3.83, IF(AQ118=6,2.18, IF(AQ118=7,0.422,IF(AQ118=8, 0.422,""))))))))</f>
        <v/>
      </c>
      <c r="AM139" s="3" t="str">
        <f>IF((L$8=AJ139),AI139,"")</f>
        <v/>
      </c>
      <c r="AN139" s="3" t="str">
        <f>IFERROR(SMALL(AM$136:AM$140,AI139),"")</f>
        <v/>
      </c>
      <c r="AO139" s="3">
        <v>210</v>
      </c>
      <c r="AP139" s="3" t="b">
        <f>IF(AN$136=AI139,L$10*(AO139*AL139))</f>
        <v>0</v>
      </c>
      <c r="AQ139" s="3" t="b">
        <f>IF(AN$136=AI139,L$11*(AO139*AL139))</f>
        <v>0</v>
      </c>
      <c r="AR139" s="3">
        <f>((((AP139-AQ139)/1000)*56275)*0.000001)*L6</f>
        <v>0</v>
      </c>
      <c r="AS139" s="2" t="s">
        <v>64</v>
      </c>
      <c r="AT139" s="2"/>
      <c r="AU139" s="2"/>
      <c r="AW139" s="2">
        <v>4</v>
      </c>
      <c r="AX139" s="3" t="s">
        <v>86</v>
      </c>
      <c r="AY139" s="3"/>
      <c r="AZ139" s="3" t="str">
        <f>IF(BE118=1,4.0791, IF(BE118=2, 7.52, IF(BE118=3, 7.91, IF(BE118=4, 6.27, IF(BE118=5,3.83, IF(BE118=6,2.18, IF(BE118=7,0.422,IF(BE118=8, 0.422,""))))))))</f>
        <v/>
      </c>
      <c r="BA139" s="3" t="str">
        <f>IF((M$8=AX139),AW139,"")</f>
        <v/>
      </c>
      <c r="BB139" s="3" t="str">
        <f>IFERROR(SMALL(BA$136:BA$140,AW139),"")</f>
        <v/>
      </c>
      <c r="BC139" s="3">
        <v>210</v>
      </c>
      <c r="BD139" s="3" t="b">
        <f>IF(BB$136=AW139,M$10*(BC139*AZ139))</f>
        <v>0</v>
      </c>
      <c r="BE139" s="3" t="b">
        <f>IF(BB$136=AW139,M$11*(BC139*AZ139))</f>
        <v>0</v>
      </c>
      <c r="BF139" s="3">
        <f>((((BD139-BE139)/1000)*56275)*0.000001)*M6</f>
        <v>0</v>
      </c>
      <c r="BG139" s="2" t="s">
        <v>64</v>
      </c>
      <c r="BH139" s="2"/>
      <c r="BK139" s="2">
        <v>4</v>
      </c>
      <c r="BL139" s="3" t="s">
        <v>86</v>
      </c>
      <c r="BM139" s="3"/>
      <c r="BN139" s="3" t="str">
        <f>IF(BS118=1,4.0791, IF(BS118=2, 7.52, IF(BS118=3, 7.91, IF(BS118=4, 6.27, IF(BS118=5,3.83, IF(BS118=6,2.18, IF(BS118=7,0.422,IF(BS118=8, 0.422,""))))))))</f>
        <v/>
      </c>
      <c r="BO139" s="3" t="str">
        <f>IF((N$8=BL139),BK139,"")</f>
        <v/>
      </c>
      <c r="BP139" s="3" t="str">
        <f>IFERROR(SMALL(BO$136:BO$140,BK139),"")</f>
        <v/>
      </c>
      <c r="BQ139" s="3">
        <v>210</v>
      </c>
      <c r="BR139" s="3" t="b">
        <f>IF(BP$136=BK139,N$10*(BQ139*BN139))</f>
        <v>0</v>
      </c>
      <c r="BS139" s="3" t="b">
        <f>IF(BP$136=BK139,N$11*(BQ139*BN139))</f>
        <v>0</v>
      </c>
      <c r="BT139" s="3">
        <f>((((BR139-BS139)/1000)*56275)*0.000001)*N6</f>
        <v>0</v>
      </c>
      <c r="BU139" s="2" t="s">
        <v>64</v>
      </c>
      <c r="BV139" s="2">
        <v>4</v>
      </c>
      <c r="BW139" s="3" t="s">
        <v>86</v>
      </c>
      <c r="BX139" s="3"/>
      <c r="BY139" s="3" t="str">
        <f>IF(CD118=1,4.0791, IF(CD118=2, 7.52, IF(CD118=3, 7.91, IF(CD118=4, 6.27, IF(CD118=5,3.83, IF(CD118=6,2.18, IF(CD118=7,0.422,IF(CD118=8, 0.422,""))))))))</f>
        <v/>
      </c>
      <c r="BZ139" s="3" t="str">
        <f>IF((O$8=BW139),BV139,"")</f>
        <v/>
      </c>
      <c r="CA139" s="3" t="str">
        <f>IFERROR(SMALL(BZ$136:BZ$140,BV139),"")</f>
        <v/>
      </c>
      <c r="CB139" s="3">
        <v>210</v>
      </c>
      <c r="CC139" s="3" t="b">
        <f>IF(CA$136=BV139,O$10*(CB139*BY139))</f>
        <v>0</v>
      </c>
      <c r="CD139" s="3" t="b">
        <f>IF(CA$136=BV139,O$11*(CB139*BY139))</f>
        <v>0</v>
      </c>
      <c r="CE139" s="3">
        <f>((((CC139-CD139)/1000)*56275)*0.000001)*O6</f>
        <v>0</v>
      </c>
      <c r="CF139" s="2" t="s">
        <v>64</v>
      </c>
      <c r="CG139" s="2"/>
    </row>
    <row r="140" spans="6:85">
      <c r="F140" s="2">
        <v>5</v>
      </c>
      <c r="G140" s="3" t="s">
        <v>87</v>
      </c>
      <c r="H140" s="3"/>
      <c r="I140" s="3" t="str">
        <f>IF(N118=1, 4.8691, IF(N118=2, 9.04, IF(N118=3, 9.36, IF(N118=4, 7.43, IF(N118=5, 4.61, IF(N118=6, 2.63, IF(N118=7, 0.507, IF(N118=8, 0.507,""))))))))</f>
        <v/>
      </c>
      <c r="J140" s="3" t="str">
        <f>IF((J$8=G140),F140,"")</f>
        <v/>
      </c>
      <c r="K140" s="3" t="str">
        <f>IFERROR(SMALL(J$136:J$140,F140),"")</f>
        <v/>
      </c>
      <c r="L140" s="3">
        <v>251</v>
      </c>
      <c r="M140" s="3" t="b">
        <f>IF(K$136=F140,J$10*(L140*I140))</f>
        <v>0</v>
      </c>
      <c r="N140" s="3" t="b">
        <f>IF(K$136=F140,J$11*(L140*I140))</f>
        <v>0</v>
      </c>
      <c r="O140" s="3">
        <f>((((M140-N140)/1000)*56275)*0.000001)*J6</f>
        <v>0</v>
      </c>
      <c r="P140" s="2" t="s">
        <v>64</v>
      </c>
      <c r="Q140" s="2"/>
      <c r="R140" s="2"/>
      <c r="S140" s="2"/>
      <c r="U140" s="2">
        <v>5</v>
      </c>
      <c r="V140" s="3" t="s">
        <v>87</v>
      </c>
      <c r="W140" s="3"/>
      <c r="X140" s="3">
        <f>IF(AC118=1, 4.8691, IF(AC118=2, 9.04, IF(AC118=3, 9.36, IF(AC118=4, 7.43, IF(AC118=5, 4.61, IF(AC118=6, 2.63, IF(AC118=7, 0.507, IF(AC118=8, 0.507,""))))))))</f>
        <v>4.8691000000000004</v>
      </c>
      <c r="Y140" s="3" t="str">
        <f>IF((K$8=V140),U140,"")</f>
        <v/>
      </c>
      <c r="Z140" s="3" t="str">
        <f>IFERROR(SMALL(Y$136:Y$140,U140),"")</f>
        <v/>
      </c>
      <c r="AA140" s="3">
        <v>251</v>
      </c>
      <c r="AB140" s="3" t="b">
        <f>IF(Z$136=U140,K$10*(AA140*X140))</f>
        <v>0</v>
      </c>
      <c r="AC140" s="3" t="b">
        <f>IF(Z$136=U140,K$11*(AA140*X140))</f>
        <v>0</v>
      </c>
      <c r="AD140" s="3">
        <f>((((AB140-AC140)/1000)*56275)*0.000001)*K6</f>
        <v>0</v>
      </c>
      <c r="AE140" s="2" t="s">
        <v>64</v>
      </c>
      <c r="AF140" s="2"/>
      <c r="AG140" s="2"/>
      <c r="AH140" s="2"/>
      <c r="AI140" s="2">
        <v>5</v>
      </c>
      <c r="AJ140" s="3" t="s">
        <v>87</v>
      </c>
      <c r="AK140" s="3"/>
      <c r="AL140" s="3" t="str">
        <f>IF(AQ118=1, 4.8691, IF(AQ118=2, 9.04, IF(AQ118=3, 9.36, IF(AQ118=4, 7.43, IF(AQ118=5, 4.61, IF(AQ118=6, 2.63, IF(AQ118=7, 0.507, IF(AQ118=8, 0.507,""))))))))</f>
        <v/>
      </c>
      <c r="AM140" s="3" t="str">
        <f>IF((L$8=AJ140),AI140,"")</f>
        <v/>
      </c>
      <c r="AN140" s="3" t="str">
        <f>IFERROR(SMALL(AM$136:AM$140,AI140),"")</f>
        <v/>
      </c>
      <c r="AO140" s="3">
        <v>251</v>
      </c>
      <c r="AP140" s="3" t="b">
        <f>IF(AN$136=AI140,L$10*(AO140*AL140))</f>
        <v>0</v>
      </c>
      <c r="AQ140" s="3" t="b">
        <f>IF(AN$136=AI140,L$11*(AO140*AL140))</f>
        <v>0</v>
      </c>
      <c r="AR140" s="3">
        <f>((((AP140-AQ140)/1000)*56275)*0.000001)*L6</f>
        <v>0</v>
      </c>
      <c r="AS140" s="2" t="s">
        <v>64</v>
      </c>
      <c r="AT140" s="2"/>
      <c r="AU140" s="2"/>
      <c r="AW140" s="2">
        <v>5</v>
      </c>
      <c r="AX140" s="3" t="s">
        <v>87</v>
      </c>
      <c r="AY140" s="3"/>
      <c r="AZ140" s="3" t="str">
        <f>IF(BE118=1, 4.8691, IF(BE118=2, 9.04, IF(BE118=3, 9.36, IF(BE118=4, 7.43, IF(BE118=5, 4.61, IF(BE118=6, 2.63, IF(BE118=7, 0.507, IF(BE118=8, 0.507,""))))))))</f>
        <v/>
      </c>
      <c r="BA140" s="3" t="str">
        <f>IF((M$8=AX140),AW140,"")</f>
        <v/>
      </c>
      <c r="BB140" s="3" t="str">
        <f>IFERROR(SMALL(BA$136:BA$140,AW140),"")</f>
        <v/>
      </c>
      <c r="BC140" s="3">
        <v>251</v>
      </c>
      <c r="BD140" s="3" t="b">
        <f>IF(BB$136=AW140,M$10*(BC140*AZ140))</f>
        <v>0</v>
      </c>
      <c r="BE140" s="3" t="b">
        <f>IF(BB$136=AW140,M$11*(BC140*AZ140))</f>
        <v>0</v>
      </c>
      <c r="BF140" s="3">
        <f>((((BD140-BE140)/1000)*56275)*0.000001)*M6</f>
        <v>0</v>
      </c>
      <c r="BG140" s="2" t="s">
        <v>64</v>
      </c>
      <c r="BH140" s="2"/>
      <c r="BK140" s="2">
        <v>5</v>
      </c>
      <c r="BL140" s="3" t="s">
        <v>87</v>
      </c>
      <c r="BM140" s="3"/>
      <c r="BN140" s="3" t="str">
        <f>IF(BS118=1, 4.8691, IF(BS118=2, 9.04, IF(BS118=3, 9.36, IF(BS118=4, 7.43, IF(BS118=5, 4.61, IF(BS118=6, 2.63, IF(BS118=7, 0.507, IF(BS118=8, 0.507,""))))))))</f>
        <v/>
      </c>
      <c r="BO140" s="3" t="str">
        <f>IF((N$8=BL140),BK140,"")</f>
        <v/>
      </c>
      <c r="BP140" s="3" t="str">
        <f>IFERROR(SMALL(BO$136:BO$140,BK140),"")</f>
        <v/>
      </c>
      <c r="BQ140" s="3">
        <v>251</v>
      </c>
      <c r="BR140" s="3" t="b">
        <f>IF(BP$136=BK140,N$10*(BQ140*BN140))</f>
        <v>0</v>
      </c>
      <c r="BS140" s="3" t="b">
        <f>IF(BP$136=BK140,N$11*(BQ140*BN140))</f>
        <v>0</v>
      </c>
      <c r="BT140" s="3">
        <f>((((BR140-BS140)/1000)*56275)*0.000001)*N6</f>
        <v>0</v>
      </c>
      <c r="BU140" s="2" t="s">
        <v>64</v>
      </c>
      <c r="BV140" s="2">
        <v>5</v>
      </c>
      <c r="BW140" s="3" t="s">
        <v>87</v>
      </c>
      <c r="BX140" s="3"/>
      <c r="BY140" s="3" t="str">
        <f>IF(CD118=1, 4.8691, IF(CD118=2, 9.04, IF(CD118=3, 9.36, IF(CD118=4, 7.43, IF(CD118=5, 4.61, IF(CD118=6, 2.63, IF(CD118=7, 0.507, IF(CD118=8, 0.507,""))))))))</f>
        <v/>
      </c>
      <c r="BZ140" s="3" t="str">
        <f>IF((O$8=BW140),BV140,"")</f>
        <v/>
      </c>
      <c r="CA140" s="3" t="str">
        <f>IFERROR(SMALL(BZ$136:BZ$140,BV140),"")</f>
        <v/>
      </c>
      <c r="CB140" s="3">
        <v>251</v>
      </c>
      <c r="CC140" s="3" t="b">
        <f>IF(CA$136=BV140,O$10*(CB140*BY140))</f>
        <v>0</v>
      </c>
      <c r="CD140" s="3" t="b">
        <f>IF(CA$136=BV140,O$11*(CB140*BY140))</f>
        <v>0</v>
      </c>
      <c r="CE140" s="3">
        <f>((((CC140-CD140)/1000)*56275)*0.000001)*O6</f>
        <v>0</v>
      </c>
      <c r="CF140" s="2" t="s">
        <v>64</v>
      </c>
      <c r="CG140" s="2"/>
    </row>
    <row r="141" spans="6:85">
      <c r="F141" s="2"/>
      <c r="G141" s="2"/>
      <c r="H141" s="2"/>
      <c r="I141" s="2"/>
      <c r="J141" s="2"/>
      <c r="K141" s="2"/>
      <c r="L141" s="2"/>
      <c r="M141" s="2"/>
      <c r="N141" s="2"/>
      <c r="O141" s="2"/>
      <c r="P141" s="2"/>
      <c r="Q141" s="2"/>
      <c r="R141" s="2"/>
      <c r="S141" s="2"/>
      <c r="U141" s="2"/>
      <c r="V141" s="2"/>
      <c r="W141" s="2"/>
      <c r="X141" s="2"/>
      <c r="Y141" s="2"/>
      <c r="Z141" s="2"/>
      <c r="AA141" s="2"/>
      <c r="AB141" s="2"/>
      <c r="AC141" s="2"/>
      <c r="AD141" s="2"/>
      <c r="AE141" s="2"/>
      <c r="AF141" s="2"/>
      <c r="AG141" s="2"/>
      <c r="AH141" s="2"/>
      <c r="AI141" s="2"/>
      <c r="AJ141" s="2"/>
      <c r="AK141" s="2"/>
      <c r="AL141" s="2"/>
      <c r="AM141" s="2"/>
      <c r="AN141" s="2"/>
      <c r="AO141" s="2"/>
      <c r="AP141" s="2"/>
      <c r="AQ141" s="2"/>
      <c r="AR141" s="2"/>
      <c r="AS141" s="2"/>
      <c r="AT141" s="2"/>
      <c r="AU141" s="2"/>
      <c r="AW141" s="2"/>
      <c r="AX141" s="2"/>
      <c r="AY141" s="2"/>
      <c r="AZ141" s="2"/>
      <c r="BA141" s="2"/>
      <c r="BB141" s="2"/>
      <c r="BC141" s="2"/>
      <c r="BD141" s="2"/>
      <c r="BE141" s="2"/>
      <c r="BF141" s="2"/>
      <c r="BG141" s="2"/>
      <c r="BH141" s="2"/>
      <c r="BK141" s="2"/>
      <c r="BL141" s="2"/>
      <c r="BM141" s="2"/>
      <c r="BN141" s="2"/>
      <c r="BO141" s="2"/>
      <c r="BP141" s="2"/>
      <c r="BQ141" s="2"/>
      <c r="BR141" s="2"/>
      <c r="BS141" s="2"/>
      <c r="BT141" s="2"/>
      <c r="BU141" s="2"/>
      <c r="BV141" s="2"/>
      <c r="BW141" s="2"/>
      <c r="BX141" s="2"/>
      <c r="BY141" s="2"/>
      <c r="BZ141" s="2"/>
      <c r="CA141" s="2"/>
      <c r="CB141" s="2"/>
      <c r="CC141" s="2"/>
      <c r="CD141" s="2"/>
      <c r="CE141" s="2"/>
      <c r="CF141" s="2"/>
      <c r="CG141" s="2"/>
    </row>
    <row r="142" spans="6:85">
      <c r="F142" s="2"/>
      <c r="G142" s="2"/>
      <c r="H142" s="2"/>
      <c r="I142" s="2"/>
      <c r="J142" s="2"/>
      <c r="K142" s="2"/>
      <c r="L142" s="2"/>
      <c r="M142" s="2"/>
      <c r="N142" s="2"/>
      <c r="O142" s="2"/>
      <c r="P142" s="2"/>
      <c r="Q142" s="2"/>
      <c r="R142" s="2"/>
      <c r="S142" s="2"/>
      <c r="U142" s="2"/>
      <c r="V142" s="2"/>
      <c r="W142" s="2"/>
      <c r="X142" s="2"/>
      <c r="Y142" s="2"/>
      <c r="Z142" s="2"/>
      <c r="AA142" s="2"/>
      <c r="AB142" s="2"/>
      <c r="AC142" s="2"/>
      <c r="AD142" s="2"/>
      <c r="AE142" s="2"/>
      <c r="AF142" s="2"/>
      <c r="AG142" s="2"/>
      <c r="AH142" s="2"/>
      <c r="AI142" s="2"/>
      <c r="AJ142" s="2"/>
      <c r="AK142" s="2"/>
      <c r="AL142" s="2"/>
      <c r="AM142" s="2"/>
      <c r="AN142" s="2"/>
      <c r="AO142" s="2"/>
      <c r="AP142" s="2"/>
      <c r="AQ142" s="2"/>
      <c r="AR142" s="2"/>
      <c r="AS142" s="2"/>
      <c r="AT142" s="2"/>
      <c r="AU142" s="2"/>
      <c r="AW142" s="2"/>
      <c r="AX142" s="2"/>
      <c r="AY142" s="2"/>
      <c r="AZ142" s="2"/>
      <c r="BA142" s="2"/>
      <c r="BB142" s="2"/>
      <c r="BC142" s="2"/>
      <c r="BD142" s="2"/>
      <c r="BE142" s="2"/>
      <c r="BF142" s="2"/>
      <c r="BG142" s="2"/>
      <c r="BH142" s="2"/>
      <c r="BK142" s="2"/>
      <c r="BL142" s="2"/>
      <c r="BM142" s="2"/>
      <c r="BN142" s="2"/>
      <c r="BO142" s="2"/>
      <c r="BP142" s="2"/>
      <c r="BQ142" s="2"/>
      <c r="BR142" s="2"/>
      <c r="BS142" s="2"/>
      <c r="BT142" s="2"/>
      <c r="BU142" s="2"/>
      <c r="BV142" s="2"/>
      <c r="BW142" s="2"/>
      <c r="BX142" s="2"/>
      <c r="BY142" s="2"/>
      <c r="BZ142" s="2"/>
      <c r="CA142" s="2"/>
      <c r="CB142" s="2"/>
      <c r="CC142" s="2"/>
      <c r="CD142" s="2"/>
      <c r="CE142" s="2"/>
      <c r="CF142" s="2"/>
      <c r="CG142" s="2"/>
    </row>
    <row r="143" spans="6:85">
      <c r="F143" s="2"/>
      <c r="G143" s="2"/>
      <c r="H143" s="2"/>
      <c r="I143" s="12" t="s">
        <v>57</v>
      </c>
      <c r="J143" s="2" t="s">
        <v>58</v>
      </c>
      <c r="K143" s="2" t="s">
        <v>58</v>
      </c>
      <c r="L143" s="12" t="s">
        <v>59</v>
      </c>
      <c r="M143" s="2" t="s">
        <v>60</v>
      </c>
      <c r="N143" s="2" t="s">
        <v>61</v>
      </c>
      <c r="O143" s="2" t="s">
        <v>62</v>
      </c>
      <c r="P143" s="2"/>
      <c r="Q143" s="2"/>
      <c r="R143" s="2"/>
      <c r="S143" s="2"/>
      <c r="U143" s="2"/>
      <c r="V143" s="2"/>
      <c r="W143" s="2"/>
      <c r="X143" s="12" t="s">
        <v>57</v>
      </c>
      <c r="Y143" s="2" t="s">
        <v>58</v>
      </c>
      <c r="Z143" s="2" t="s">
        <v>58</v>
      </c>
      <c r="AA143" s="12" t="s">
        <v>59</v>
      </c>
      <c r="AB143" s="2" t="s">
        <v>60</v>
      </c>
      <c r="AC143" s="2" t="s">
        <v>61</v>
      </c>
      <c r="AD143" s="2" t="s">
        <v>62</v>
      </c>
      <c r="AE143" s="2"/>
      <c r="AF143" s="2"/>
      <c r="AG143" s="2"/>
      <c r="AH143" s="2"/>
      <c r="AI143" s="2"/>
      <c r="AJ143" s="2"/>
      <c r="AK143" s="2"/>
      <c r="AL143" s="12" t="s">
        <v>57</v>
      </c>
      <c r="AM143" s="2" t="s">
        <v>58</v>
      </c>
      <c r="AN143" s="2" t="s">
        <v>58</v>
      </c>
      <c r="AO143" s="12" t="s">
        <v>59</v>
      </c>
      <c r="AP143" s="2" t="s">
        <v>60</v>
      </c>
      <c r="AQ143" s="2" t="s">
        <v>61</v>
      </c>
      <c r="AR143" s="2" t="s">
        <v>62</v>
      </c>
      <c r="AS143" s="2"/>
      <c r="AT143" s="2"/>
      <c r="AU143" s="2"/>
      <c r="AW143" s="2"/>
      <c r="AX143" s="2"/>
      <c r="AY143" s="2"/>
      <c r="AZ143" s="12" t="s">
        <v>57</v>
      </c>
      <c r="BA143" s="2" t="s">
        <v>58</v>
      </c>
      <c r="BB143" s="2" t="s">
        <v>58</v>
      </c>
      <c r="BC143" s="12" t="s">
        <v>59</v>
      </c>
      <c r="BD143" s="2" t="s">
        <v>60</v>
      </c>
      <c r="BE143" s="2" t="s">
        <v>61</v>
      </c>
      <c r="BF143" s="2" t="s">
        <v>62</v>
      </c>
      <c r="BG143" s="2"/>
      <c r="BH143" s="2"/>
      <c r="BK143" s="2"/>
      <c r="BL143" s="2"/>
      <c r="BM143" s="2"/>
      <c r="BN143" s="12" t="s">
        <v>57</v>
      </c>
      <c r="BO143" s="2" t="s">
        <v>58</v>
      </c>
      <c r="BP143" s="2" t="s">
        <v>58</v>
      </c>
      <c r="BQ143" s="12" t="s">
        <v>59</v>
      </c>
      <c r="BR143" s="2" t="s">
        <v>60</v>
      </c>
      <c r="BS143" s="2" t="s">
        <v>61</v>
      </c>
      <c r="BT143" s="2" t="s">
        <v>62</v>
      </c>
      <c r="BU143" s="2"/>
      <c r="BV143" s="2"/>
      <c r="BW143" s="2"/>
      <c r="BX143" s="2"/>
      <c r="BY143" s="12" t="s">
        <v>57</v>
      </c>
      <c r="BZ143" s="2" t="s">
        <v>58</v>
      </c>
      <c r="CA143" s="2" t="s">
        <v>58</v>
      </c>
      <c r="CB143" s="12" t="s">
        <v>59</v>
      </c>
      <c r="CC143" s="2" t="s">
        <v>60</v>
      </c>
      <c r="CD143" s="2" t="s">
        <v>61</v>
      </c>
      <c r="CE143" s="2" t="s">
        <v>62</v>
      </c>
      <c r="CF143" s="2"/>
      <c r="CG143" s="2"/>
    </row>
    <row r="144" spans="6:85">
      <c r="F144" s="2">
        <v>1</v>
      </c>
      <c r="G144" s="3" t="s">
        <v>83</v>
      </c>
      <c r="H144" s="3"/>
      <c r="I144" s="3" t="str">
        <f>IF(I118=1,0.0019,"")</f>
        <v/>
      </c>
      <c r="J144" s="3" t="str">
        <f>IF((J$8=G144),F144,"")</f>
        <v/>
      </c>
      <c r="K144" s="3" t="str">
        <f>IFERROR(SMALL(J$144:J$148,F144),"")</f>
        <v/>
      </c>
      <c r="L144" s="3">
        <v>177</v>
      </c>
      <c r="M144" s="3" t="b">
        <f>IF(K$144=F144,J$10*(L144*I144))</f>
        <v>0</v>
      </c>
      <c r="N144" s="3" t="b">
        <f>IF(K$144=F144,J$11*(L144*I144))</f>
        <v>0</v>
      </c>
      <c r="O144" s="3">
        <f>((((M144-N144)/1000)*4281)*0.000001)*J6</f>
        <v>0</v>
      </c>
      <c r="P144" s="2" t="s">
        <v>64</v>
      </c>
      <c r="Q144" s="2"/>
      <c r="R144" s="2"/>
      <c r="S144" s="2"/>
      <c r="U144" s="2">
        <v>1</v>
      </c>
      <c r="V144" s="3" t="s">
        <v>83</v>
      </c>
      <c r="W144" s="3"/>
      <c r="X144" s="3" t="str">
        <f>IF(X118=1,0.0019,"")</f>
        <v/>
      </c>
      <c r="Y144" s="3" t="str">
        <f>IF((K$8=V144),U144,"")</f>
        <v/>
      </c>
      <c r="Z144" s="3" t="str">
        <f>IFERROR(SMALL(Y$144:Y$148,U144),"")</f>
        <v/>
      </c>
      <c r="AA144" s="3">
        <v>177</v>
      </c>
      <c r="AB144" s="3" t="b">
        <f>IF(Z$144=U144,K$10*(AA144*X144))</f>
        <v>0</v>
      </c>
      <c r="AC144" s="3" t="b">
        <f>IF(Z$144=U144,K$11*(AA144*X144))</f>
        <v>0</v>
      </c>
      <c r="AD144" s="3">
        <f>((((AB144-AC144)/1000)*4281)*0.000001)*K6</f>
        <v>0</v>
      </c>
      <c r="AE144" s="2" t="s">
        <v>64</v>
      </c>
      <c r="AF144" s="2"/>
      <c r="AG144" s="2"/>
      <c r="AH144" s="2"/>
      <c r="AI144" s="2">
        <v>1</v>
      </c>
      <c r="AJ144" s="3" t="s">
        <v>83</v>
      </c>
      <c r="AK144" s="3"/>
      <c r="AL144" s="3" t="str">
        <f>IF(AL118=1,0.0019,"")</f>
        <v/>
      </c>
      <c r="AM144" s="3" t="str">
        <f>IF((L$8=AJ144),AI144,"")</f>
        <v/>
      </c>
      <c r="AN144" s="3" t="str">
        <f>IFERROR(SMALL(AM$144:AM$148,AI144),"")</f>
        <v/>
      </c>
      <c r="AO144" s="3">
        <v>177</v>
      </c>
      <c r="AP144" s="3" t="b">
        <f>IF(AN$144=AI144,L$10*(AO144*AL144))</f>
        <v>0</v>
      </c>
      <c r="AQ144" s="3" t="b">
        <f>IF(AN$144=AI144,L$11*(AO144*AL144))</f>
        <v>0</v>
      </c>
      <c r="AR144" s="3">
        <f>((((AP144-AQ144)/1000)*4281)*0.000001)*L6</f>
        <v>0</v>
      </c>
      <c r="AS144" s="2" t="s">
        <v>64</v>
      </c>
      <c r="AT144" s="2"/>
      <c r="AU144" s="2"/>
      <c r="AW144" s="2">
        <v>1</v>
      </c>
      <c r="AX144" s="3" t="s">
        <v>83</v>
      </c>
      <c r="AY144" s="3"/>
      <c r="AZ144" s="3" t="str">
        <f>IF(AZ118=1,0.0019,"")</f>
        <v/>
      </c>
      <c r="BA144" s="3" t="str">
        <f>IF((M$8=AX144),AW144,"")</f>
        <v/>
      </c>
      <c r="BB144" s="3" t="str">
        <f>IFERROR(SMALL(BA$144:BA$148,AW144),"")</f>
        <v/>
      </c>
      <c r="BC144" s="3">
        <v>177</v>
      </c>
      <c r="BD144" s="3" t="b">
        <f>IF(BB$144=AW144,M$10*(BC144*AZ144))</f>
        <v>0</v>
      </c>
      <c r="BE144" s="3" t="b">
        <f>IF(BB$144=AW144,M$11*(BC144*AZ144))</f>
        <v>0</v>
      </c>
      <c r="BF144" s="3">
        <f>((((BD144-BE144)/1000)*4281)*0.000001)*M6</f>
        <v>0</v>
      </c>
      <c r="BG144" s="2" t="s">
        <v>64</v>
      </c>
      <c r="BH144" s="2"/>
      <c r="BK144" s="2">
        <v>1</v>
      </c>
      <c r="BL144" s="3" t="s">
        <v>83</v>
      </c>
      <c r="BM144" s="3"/>
      <c r="BN144" s="3" t="str">
        <f>IF(BN118=1,0.0019,"")</f>
        <v/>
      </c>
      <c r="BO144" s="3" t="str">
        <f>IF((N$8=BL144),BK144,"")</f>
        <v/>
      </c>
      <c r="BP144" s="3" t="str">
        <f>IFERROR(SMALL(BO$144:BO$148,BK144),"")</f>
        <v/>
      </c>
      <c r="BQ144" s="3">
        <v>177</v>
      </c>
      <c r="BR144" s="3" t="b">
        <f>IF(BP$144=BK144,N$10*(BQ144*BN144))</f>
        <v>0</v>
      </c>
      <c r="BS144" s="3" t="b">
        <f>IF(BP$144=BK144,N$11*(BQ144*BN144))</f>
        <v>0</v>
      </c>
      <c r="BT144" s="3">
        <f>((((BR144-BS144)/1000)*4281)*0.000001)*N6</f>
        <v>0</v>
      </c>
      <c r="BU144" s="2" t="s">
        <v>64</v>
      </c>
      <c r="BV144" s="2">
        <v>1</v>
      </c>
      <c r="BW144" s="3" t="s">
        <v>83</v>
      </c>
      <c r="BX144" s="3"/>
      <c r="BY144" s="3" t="str">
        <f>IF(BY118=1,0.0019,"")</f>
        <v/>
      </c>
      <c r="BZ144" s="3" t="str">
        <f>IF((O$8=BW144),BV144,"")</f>
        <v/>
      </c>
      <c r="CA144" s="3" t="str">
        <f>IFERROR(SMALL(BZ$144:BZ$148,BV144),"")</f>
        <v/>
      </c>
      <c r="CB144" s="3">
        <v>177</v>
      </c>
      <c r="CC144" s="3" t="b">
        <f>IF(CA$144=BV144,O$10*(CB144*BY144))</f>
        <v>0</v>
      </c>
      <c r="CD144" s="3" t="b">
        <f>IF(CA$144=BV144,O$11*(CB144*BY144))</f>
        <v>0</v>
      </c>
      <c r="CE144" s="3">
        <f>((((CC144-CD144)/1000)*4281)*0.000001)*O6</f>
        <v>0</v>
      </c>
      <c r="CF144" s="2" t="s">
        <v>64</v>
      </c>
      <c r="CG144" s="2"/>
    </row>
    <row r="145" spans="6:85">
      <c r="F145" s="2">
        <v>2</v>
      </c>
      <c r="G145" s="3" t="s">
        <v>84</v>
      </c>
      <c r="H145" s="3"/>
      <c r="I145" s="3" t="str">
        <f>IF(N118=1,0.0058, IF(N118=2, 0.0029, IF(N118=3, 0.0029, IF(N118=4, 0.0029, IF(N118=5, 0.0029, IF(N118=6, 0.011, IF(N118=7, 0.009, IF(N118=8, 0.009,""))))))))</f>
        <v/>
      </c>
      <c r="J145" s="3" t="str">
        <f>IF((J$8=G145),F145,"")</f>
        <v/>
      </c>
      <c r="K145" s="3" t="str">
        <f>IFERROR(SMALL(J$144:J$148,F145),"")</f>
        <v/>
      </c>
      <c r="L145" s="3">
        <v>101</v>
      </c>
      <c r="M145" s="3" t="b">
        <f>IF(K$144=F145,J$10*(L145*I145))</f>
        <v>0</v>
      </c>
      <c r="N145" s="3" t="b">
        <f>IF(K$144=F145,J$11*(L145*I145))</f>
        <v>0</v>
      </c>
      <c r="O145" s="3">
        <f>((((M145-N145)/1000)*23713)*0.000001)*J6</f>
        <v>0</v>
      </c>
      <c r="P145" s="2" t="s">
        <v>64</v>
      </c>
      <c r="Q145" s="2"/>
      <c r="R145" s="2"/>
      <c r="S145" s="2"/>
      <c r="U145" s="2">
        <v>2</v>
      </c>
      <c r="V145" s="3" t="s">
        <v>84</v>
      </c>
      <c r="W145" s="3"/>
      <c r="X145" s="3">
        <f>IF(AC118=1,0.0058, IF(AC118=2, 0.0029, IF(AC118=3, 0.0029, IF(AC118=4, 0.0029, IF(AC118=5, 0.0029, IF(AC118=6, 0.011, IF(AC118=7, 0.009, IF(AC118=8, 0.009,""))))))))</f>
        <v>5.7999999999999996E-3</v>
      </c>
      <c r="Y145" s="3" t="str">
        <f>IF((K$8=V145),U145,"")</f>
        <v/>
      </c>
      <c r="Z145" s="3" t="str">
        <f>IFERROR(SMALL(Y$144:Y$148,U145),"")</f>
        <v/>
      </c>
      <c r="AA145" s="3">
        <v>101</v>
      </c>
      <c r="AB145" s="3" t="b">
        <f>IF(Z$144=U145,K$10*(AA145*X145))</f>
        <v>0</v>
      </c>
      <c r="AC145" s="3" t="b">
        <f>IF(Z$144=U145,K$11*(AA145*X145))</f>
        <v>0</v>
      </c>
      <c r="AD145" s="3">
        <f>((((AB145-AC145)/1000)*23713)*0.000001)*K6</f>
        <v>0</v>
      </c>
      <c r="AE145" s="2" t="s">
        <v>64</v>
      </c>
      <c r="AF145" s="2"/>
      <c r="AG145" s="2"/>
      <c r="AH145" s="2"/>
      <c r="AI145" s="2">
        <v>2</v>
      </c>
      <c r="AJ145" s="3" t="s">
        <v>84</v>
      </c>
      <c r="AK145" s="3"/>
      <c r="AL145" s="3" t="str">
        <f>IF(AQ118=1,0.0058, IF(AQ118=2, 0.0029, IF(AQ118=3, 0.0029, IF(AQ118=4, 0.0029, IF(AQ118=5, 0.0029, IF(AQ118=6, 0.011, IF(AQ118=7, 0.009, IF(AQ118=8, 0.009,""))))))))</f>
        <v/>
      </c>
      <c r="AM145" s="3" t="str">
        <f>IF((L$8=AJ145),AI145,"")</f>
        <v/>
      </c>
      <c r="AN145" s="3" t="str">
        <f>IFERROR(SMALL(AM$144:AM$148,AI145),"")</f>
        <v/>
      </c>
      <c r="AO145" s="3">
        <v>101</v>
      </c>
      <c r="AP145" s="3" t="b">
        <f>IF(AN$144=AI145,L$10*(AO145*AL145))</f>
        <v>0</v>
      </c>
      <c r="AQ145" s="3" t="b">
        <f>IF(AN$144=AI145,L$11*(AO145*AL145))</f>
        <v>0</v>
      </c>
      <c r="AR145" s="3">
        <f>((((AP145-AQ145)/1000)*23713)*0.000001)*L6</f>
        <v>0</v>
      </c>
      <c r="AS145" s="2" t="s">
        <v>64</v>
      </c>
      <c r="AT145" s="2"/>
      <c r="AU145" s="2"/>
      <c r="AW145" s="2">
        <v>2</v>
      </c>
      <c r="AX145" s="3" t="s">
        <v>84</v>
      </c>
      <c r="AY145" s="3"/>
      <c r="AZ145" s="3" t="str">
        <f>IF(BE118=1,0.0058, IF(BE118=2, 0.0029, IF(BE118=3, 0.0029, IF(BE118=4, 0.0029, IF(BE118=5, 0.0029, IF(BE118=6, 0.011, IF(BE118=7, 0.009, IF(BE118=8, 0.009,""))))))))</f>
        <v/>
      </c>
      <c r="BA145" s="3" t="str">
        <f>IF((M$8=AX145),AW145,"")</f>
        <v/>
      </c>
      <c r="BB145" s="3" t="str">
        <f>IFERROR(SMALL(BA$144:BA$148,AW145),"")</f>
        <v/>
      </c>
      <c r="BC145" s="3">
        <v>101</v>
      </c>
      <c r="BD145" s="3" t="b">
        <f>IF(BB$144=AW145,M$10*(BC145*AZ145))</f>
        <v>0</v>
      </c>
      <c r="BE145" s="3" t="b">
        <f>IF(BB$144=AW145,M$11*(BC145*AZ145))</f>
        <v>0</v>
      </c>
      <c r="BF145" s="3">
        <f>((((BD145-BE145)/1000)*23713)*0.000001)*M6</f>
        <v>0</v>
      </c>
      <c r="BG145" s="2" t="s">
        <v>64</v>
      </c>
      <c r="BH145" s="2"/>
      <c r="BK145" s="2">
        <v>2</v>
      </c>
      <c r="BL145" s="3" t="s">
        <v>84</v>
      </c>
      <c r="BM145" s="3"/>
      <c r="BN145" s="3" t="str">
        <f>IF(BS118=1,0.0058, IF(BS118=2, 0.0029, IF(BS118=3, 0.0029, IF(BS118=4, 0.0029, IF(BS118=5, 0.0029, IF(BS118=6, 0.011, IF(BS118=7, 0.009, IF(BS118=8, 0.009,""))))))))</f>
        <v/>
      </c>
      <c r="BO145" s="3" t="str">
        <f>IF((N$8=BL145),BK145,"")</f>
        <v/>
      </c>
      <c r="BP145" s="3" t="str">
        <f>IFERROR(SMALL(BO$144:BO$148,BK145),"")</f>
        <v/>
      </c>
      <c r="BQ145" s="3">
        <v>101</v>
      </c>
      <c r="BR145" s="3" t="b">
        <f>IF(BP$144=BK145,N$10*(BQ145*BN145))</f>
        <v>0</v>
      </c>
      <c r="BS145" s="3" t="b">
        <f>IF(BP$144=BK145,N$11*(BQ145*BN145))</f>
        <v>0</v>
      </c>
      <c r="BT145" s="3">
        <f>((((BR145-BS145)/1000)*23713)*0.000001)*N6</f>
        <v>0</v>
      </c>
      <c r="BU145" s="2" t="s">
        <v>64</v>
      </c>
      <c r="BV145" s="2">
        <v>2</v>
      </c>
      <c r="BW145" s="3" t="s">
        <v>84</v>
      </c>
      <c r="BX145" s="3"/>
      <c r="BY145" s="3" t="str">
        <f>IF(CD118=1,0.0058, IF(CD118=2, 0.0029, IF(CD118=3, 0.0029, IF(CD118=4, 0.0029, IF(CD118=5, 0.0029, IF(CD118=6, 0.011, IF(CD118=7, 0.009, IF(CD118=8, 0.009,""))))))))</f>
        <v/>
      </c>
      <c r="BZ145" s="3" t="str">
        <f>IF((O$8=BW145),BV145,"")</f>
        <v/>
      </c>
      <c r="CA145" s="3" t="str">
        <f>IFERROR(SMALL(BZ$144:BZ$148,BV145),"")</f>
        <v/>
      </c>
      <c r="CB145" s="3">
        <v>101</v>
      </c>
      <c r="CC145" s="3" t="b">
        <f>IF(CA$144=BV145,O$10*(CB145*BY145))</f>
        <v>0</v>
      </c>
      <c r="CD145" s="3" t="b">
        <f>IF(CA$144=BV145,O$11*(CB145*BY145))</f>
        <v>0</v>
      </c>
      <c r="CE145" s="3">
        <f>((((CC145-CD145)/1000)*23713)*0.000001)*O6</f>
        <v>0</v>
      </c>
      <c r="CF145" s="2" t="s">
        <v>64</v>
      </c>
      <c r="CG145" s="2"/>
    </row>
    <row r="146" spans="6:85">
      <c r="F146" s="2">
        <v>3</v>
      </c>
      <c r="G146" s="3" t="s">
        <v>85</v>
      </c>
      <c r="H146" s="3"/>
      <c r="I146" s="3" t="str">
        <f>IF(N118=1,0.0058,IF(N118=2, 0.0029, IF(N118=3,0.0029, IF(N118=4,0.0029, IF(N118=5, 0.0029, IF(N118=6, 0.011, IF(N118=7, 0.009, IF(N118=8, 0.009,""))))))))</f>
        <v/>
      </c>
      <c r="J146" s="3" t="str">
        <f>IF((J$8=G146),F146,"")</f>
        <v/>
      </c>
      <c r="K146" s="3" t="str">
        <f>IFERROR(SMALL(J$144:J$148,F146),"")</f>
        <v/>
      </c>
      <c r="L146" s="3">
        <v>155</v>
      </c>
      <c r="M146" s="3" t="b">
        <f>IF(K$144=F146,J$10*(L146*I146))</f>
        <v>0</v>
      </c>
      <c r="N146" s="3" t="b">
        <f>IF(K$144=F146,J$11*(L146*I146))</f>
        <v>0</v>
      </c>
      <c r="O146" s="3">
        <f>((((M146-N146)/1000)*56275)*0.000001)*J6</f>
        <v>0</v>
      </c>
      <c r="P146" s="2" t="s">
        <v>64</v>
      </c>
      <c r="Q146" s="2"/>
      <c r="R146" s="2"/>
      <c r="S146" s="2"/>
      <c r="U146" s="2">
        <v>3</v>
      </c>
      <c r="V146" s="3" t="s">
        <v>85</v>
      </c>
      <c r="W146" s="3"/>
      <c r="X146" s="3">
        <f>IF(AC118=1,0.0058,IF(AC118=2, 0.0029, IF(AC118=3,0.0029, IF(AC118=4,0.0029, IF(AC118=5, 0.0029, IF(AC118=6, 0.011, IF(AC118=7, 0.009, IF(AC118=8, 0.009,""))))))))</f>
        <v>5.7999999999999996E-3</v>
      </c>
      <c r="Y146" s="3" t="str">
        <f>IF((K$8=V146),U146,"")</f>
        <v/>
      </c>
      <c r="Z146" s="3" t="str">
        <f>IFERROR(SMALL(Y$144:Y$148,U146),"")</f>
        <v/>
      </c>
      <c r="AA146" s="3">
        <v>155</v>
      </c>
      <c r="AB146" s="3" t="b">
        <f>IF(Z$144=U146,K$10*(AA146*X146))</f>
        <v>0</v>
      </c>
      <c r="AC146" s="3" t="b">
        <f>IF(Z$144=U146,K$11*(AA146*X146))</f>
        <v>0</v>
      </c>
      <c r="AD146" s="3">
        <f>((((AB146-AC146)/1000)*56275)*0.000001)*K6</f>
        <v>0</v>
      </c>
      <c r="AE146" s="2" t="s">
        <v>64</v>
      </c>
      <c r="AF146" s="2"/>
      <c r="AG146" s="2"/>
      <c r="AH146" s="2"/>
      <c r="AI146" s="2">
        <v>3</v>
      </c>
      <c r="AJ146" s="3" t="s">
        <v>85</v>
      </c>
      <c r="AK146" s="3"/>
      <c r="AL146" s="3" t="str">
        <f>IF(AQ118=1,0.0058,IF(AQ118=2, 0.0029, IF(AQ118=3,0.0029, IF(AQ118=4,0.0029, IF(AQ118=5, 0.0029, IF(AQ118=6, 0.011, IF(AQ118=7, 0.009, IF(AQ118=8, 0.009,""))))))))</f>
        <v/>
      </c>
      <c r="AM146" s="3" t="str">
        <f>IF((L$8=AJ146),AI146,"")</f>
        <v/>
      </c>
      <c r="AN146" s="3" t="str">
        <f>IFERROR(SMALL(AM$144:AM$148,AI146),"")</f>
        <v/>
      </c>
      <c r="AO146" s="3">
        <v>155</v>
      </c>
      <c r="AP146" s="3" t="b">
        <f>IF(AN$144=AI146,L$10*(AO146*AL146))</f>
        <v>0</v>
      </c>
      <c r="AQ146" s="3" t="b">
        <f>IF(AN$144=AI146,L$11*(AO146*AL146))</f>
        <v>0</v>
      </c>
      <c r="AR146" s="3">
        <f>((((AP146-AQ146)/1000)*56275)*0.000001)*L6</f>
        <v>0</v>
      </c>
      <c r="AS146" s="2" t="s">
        <v>64</v>
      </c>
      <c r="AT146" s="2"/>
      <c r="AU146" s="2"/>
      <c r="AW146" s="2">
        <v>3</v>
      </c>
      <c r="AX146" s="3" t="s">
        <v>85</v>
      </c>
      <c r="AY146" s="3"/>
      <c r="AZ146" s="3" t="str">
        <f>IF(BE118=1,0.0058,IF(BE118=2, 0.0029, IF(BE118=3,0.0029, IF(BE118=4,0.0029, IF(BE118=5, 0.0029, IF(BE118=6, 0.011, IF(BE118=7, 0.009, IF(BE118=8, 0.009,""))))))))</f>
        <v/>
      </c>
      <c r="BA146" s="3" t="str">
        <f>IF((M$8=AX146),AW146,"")</f>
        <v/>
      </c>
      <c r="BB146" s="3" t="str">
        <f>IFERROR(SMALL(BA$144:BA$148,AW146),"")</f>
        <v/>
      </c>
      <c r="BC146" s="3">
        <v>155</v>
      </c>
      <c r="BD146" s="3" t="b">
        <f>IF(BB$144=AW146,M$10*(BC146*AZ146))</f>
        <v>0</v>
      </c>
      <c r="BE146" s="3" t="b">
        <f>IF(BB$144=AW146,M$11*(BC146*AZ146))</f>
        <v>0</v>
      </c>
      <c r="BF146" s="3">
        <f>((((BD146-BE146)/1000)*56275)*0.000001)*M6</f>
        <v>0</v>
      </c>
      <c r="BG146" s="2" t="s">
        <v>64</v>
      </c>
      <c r="BH146" s="2"/>
      <c r="BK146" s="2">
        <v>3</v>
      </c>
      <c r="BL146" s="3" t="s">
        <v>85</v>
      </c>
      <c r="BM146" s="3"/>
      <c r="BN146" s="3" t="str">
        <f>IF(BS118=1,0.0058,IF(BS118=2, 0.0029, IF(BS118=3,0.0029, IF(BS118=4,0.0029, IF(BS118=5, 0.0029, IF(BS118=6, 0.011, IF(BS118=7, 0.009, IF(BS118=8, 0.009,""))))))))</f>
        <v/>
      </c>
      <c r="BO146" s="3" t="str">
        <f>IF((N$8=BL146),BK146,"")</f>
        <v/>
      </c>
      <c r="BP146" s="3" t="str">
        <f>IFERROR(SMALL(BO$144:BO$148,BK146),"")</f>
        <v/>
      </c>
      <c r="BQ146" s="3">
        <v>155</v>
      </c>
      <c r="BR146" s="3" t="b">
        <f>IF(BP$144=BK146,N$10*(BQ146*BN146))</f>
        <v>0</v>
      </c>
      <c r="BS146" s="3" t="b">
        <f>IF(BP$144=BK146,N$11*(BQ146*BN146))</f>
        <v>0</v>
      </c>
      <c r="BT146" s="3">
        <f>((((BR146-BS146)/1000)*56275)*0.000001)*N6</f>
        <v>0</v>
      </c>
      <c r="BU146" s="2" t="s">
        <v>64</v>
      </c>
      <c r="BV146" s="2">
        <v>3</v>
      </c>
      <c r="BW146" s="3" t="s">
        <v>85</v>
      </c>
      <c r="BX146" s="3"/>
      <c r="BY146" s="3" t="str">
        <f>IF(CD118=1,0.0058,IF(CD118=2, 0.0029, IF(CD118=3,0.0029, IF(CD118=4,0.0029, IF(CD118=5, 0.0029, IF(CD118=6, 0.011, IF(CD118=7, 0.009, IF(CD118=8, 0.009,""))))))))</f>
        <v/>
      </c>
      <c r="BZ146" s="3" t="str">
        <f>IF((O$8=BW146),BV146,"")</f>
        <v/>
      </c>
      <c r="CA146" s="3" t="str">
        <f>IFERROR(SMALL(BZ$144:BZ$148,BV146),"")</f>
        <v/>
      </c>
      <c r="CB146" s="3">
        <v>155</v>
      </c>
      <c r="CC146" s="3" t="b">
        <f>IF(CA$144=BV146,O$10*(CB146*BY146))</f>
        <v>0</v>
      </c>
      <c r="CD146" s="3" t="b">
        <f>IF(CA$144=BV146,O$11*(CB146*BY146))</f>
        <v>0</v>
      </c>
      <c r="CE146" s="3">
        <f>((((CC146-CD146)/1000)*56275)*0.000001)*O6</f>
        <v>0</v>
      </c>
      <c r="CF146" s="2" t="s">
        <v>64</v>
      </c>
      <c r="CG146" s="2"/>
    </row>
    <row r="147" spans="6:85">
      <c r="F147" s="2">
        <v>4</v>
      </c>
      <c r="G147" s="3" t="s">
        <v>86</v>
      </c>
      <c r="H147" s="3"/>
      <c r="I147" s="3" t="str">
        <f>IF(N118=1,0.0058, IF(N118=2, 0.0029, IF(N118=3, 0.0029, IF(N118=4,0.0029, IF(N118=5, 0.0029, IF(N118=6, 0.011, IF(N118=7, 0.009, IF(N118=8, 0.009,""))))))))</f>
        <v/>
      </c>
      <c r="J147" s="3" t="str">
        <f>IF((J$8=G147),F147,"")</f>
        <v/>
      </c>
      <c r="K147" s="3" t="str">
        <f>IFERROR(SMALL(J$144:J$148,F147),"")</f>
        <v/>
      </c>
      <c r="L147" s="3">
        <v>210</v>
      </c>
      <c r="M147" s="3" t="b">
        <f>IF(K$144=F147,J$10*(L147*I147))</f>
        <v>0</v>
      </c>
      <c r="N147" s="3" t="b">
        <f>IF(K$144=F147,J$11*(L147*I147))</f>
        <v>0</v>
      </c>
      <c r="O147" s="3">
        <f>((((M147-N147)/1000)*56275)*0.000001)*J6</f>
        <v>0</v>
      </c>
      <c r="P147" s="2" t="s">
        <v>64</v>
      </c>
      <c r="Q147" s="2"/>
      <c r="R147" s="2"/>
      <c r="S147" s="2"/>
      <c r="U147" s="2">
        <v>4</v>
      </c>
      <c r="V147" s="3" t="s">
        <v>86</v>
      </c>
      <c r="W147" s="3"/>
      <c r="X147" s="3">
        <f>IF(AC118=1,0.0058, IF(AC118=2, 0.0029, IF(AC118=3, 0.0029, IF(AC118=4,0.0029, IF(AC118=5, 0.0029, IF(AC118=6, 0.011, IF(AC118=7, 0.009, IF(AC118=8, 0.009,""))))))))</f>
        <v>5.7999999999999996E-3</v>
      </c>
      <c r="Y147" s="3" t="str">
        <f>IF((K$8=V147),U147,"")</f>
        <v/>
      </c>
      <c r="Z147" s="3" t="str">
        <f>IFERROR(SMALL(Y$144:Y$148,U147),"")</f>
        <v/>
      </c>
      <c r="AA147" s="3">
        <v>210</v>
      </c>
      <c r="AB147" s="3" t="b">
        <f>IF(Z$144=U147,K$10*(AA147*X147))</f>
        <v>0</v>
      </c>
      <c r="AC147" s="3" t="b">
        <f>IF(Z$144=U147,K$11*(AA147*X147))</f>
        <v>0</v>
      </c>
      <c r="AD147" s="3">
        <f>((((AB147-AC147)/1000)*56275)*0.000001)*K6</f>
        <v>0</v>
      </c>
      <c r="AE147" s="2" t="s">
        <v>64</v>
      </c>
      <c r="AF147" s="2"/>
      <c r="AG147" s="2"/>
      <c r="AH147" s="2"/>
      <c r="AI147" s="2">
        <v>4</v>
      </c>
      <c r="AJ147" s="3" t="s">
        <v>86</v>
      </c>
      <c r="AK147" s="3"/>
      <c r="AL147" s="3" t="str">
        <f>IF(AQ118=1,0.0058, IF(AQ118=2, 0.0029, IF(AQ118=3, 0.0029, IF(AQ118=4,0.0029, IF(AQ118=5, 0.0029, IF(AQ118=6, 0.011, IF(AQ118=7, 0.009, IF(AQ118=8, 0.009,""))))))))</f>
        <v/>
      </c>
      <c r="AM147" s="3" t="str">
        <f>IF((L$8=AJ147),AI147,"")</f>
        <v/>
      </c>
      <c r="AN147" s="3" t="str">
        <f>IFERROR(SMALL(AM$144:AM$148,AI147),"")</f>
        <v/>
      </c>
      <c r="AO147" s="3">
        <v>210</v>
      </c>
      <c r="AP147" s="3" t="b">
        <f>IF(AN$144=AI147,L$10*(AO147*AL147))</f>
        <v>0</v>
      </c>
      <c r="AQ147" s="3" t="b">
        <f>IF(AN$144=AI147,L$11*(AO147*AL147))</f>
        <v>0</v>
      </c>
      <c r="AR147" s="3">
        <f>((((AP147-AQ147)/1000)*56275)*0.000001)*L6</f>
        <v>0</v>
      </c>
      <c r="AS147" s="2" t="s">
        <v>64</v>
      </c>
      <c r="AT147" s="2"/>
      <c r="AU147" s="2"/>
      <c r="AW147" s="2">
        <v>4</v>
      </c>
      <c r="AX147" s="3" t="s">
        <v>86</v>
      </c>
      <c r="AY147" s="3"/>
      <c r="AZ147" s="3" t="str">
        <f>IF(BE118=1,0.0058, IF(BE118=2, 0.0029, IF(BE118=3, 0.0029, IF(BE118=4,0.0029, IF(BE118=5, 0.0029, IF(BE118=6, 0.011, IF(BE118=7, 0.009, IF(BE118=8, 0.009,""))))))))</f>
        <v/>
      </c>
      <c r="BA147" s="3" t="str">
        <f>IF((M$8=AX147),AW147,"")</f>
        <v/>
      </c>
      <c r="BB147" s="3" t="str">
        <f>IFERROR(SMALL(BA$144:BA$148,AW147),"")</f>
        <v/>
      </c>
      <c r="BC147" s="3">
        <v>210</v>
      </c>
      <c r="BD147" s="3" t="b">
        <f>IF(BB$144=AW147,M$10*(BC147*AZ147))</f>
        <v>0</v>
      </c>
      <c r="BE147" s="3" t="b">
        <f>IF(BB$144=AW147,M$11*(BC147*AZ147))</f>
        <v>0</v>
      </c>
      <c r="BF147" s="3">
        <f>((((BD147-BE147)/1000)*56275)*0.000001)*M6</f>
        <v>0</v>
      </c>
      <c r="BG147" s="2" t="s">
        <v>64</v>
      </c>
      <c r="BH147" s="2"/>
      <c r="BK147" s="2">
        <v>4</v>
      </c>
      <c r="BL147" s="3" t="s">
        <v>86</v>
      </c>
      <c r="BM147" s="3"/>
      <c r="BN147" s="3" t="str">
        <f>IF(BS118=1,0.0058, IF(BS118=2, 0.0029, IF(BS118=3, 0.0029, IF(BS118=4,0.0029, IF(BS118=5, 0.0029, IF(BS118=6, 0.011, IF(BS118=7, 0.009, IF(BS118=8, 0.009,""))))))))</f>
        <v/>
      </c>
      <c r="BO147" s="3" t="str">
        <f>IF((N$8=BL147),BK147,"")</f>
        <v/>
      </c>
      <c r="BP147" s="3" t="str">
        <f>IFERROR(SMALL(BO$144:BO$148,BK147),"")</f>
        <v/>
      </c>
      <c r="BQ147" s="3">
        <v>210</v>
      </c>
      <c r="BR147" s="3" t="b">
        <f>IF(BP$144=BK147,N$10*(BQ147*BN147))</f>
        <v>0</v>
      </c>
      <c r="BS147" s="3" t="b">
        <f>IF(BP$144=BK147,N$11*(BQ147*BN147))</f>
        <v>0</v>
      </c>
      <c r="BT147" s="3">
        <f>((((BR147-BS147)/1000)*56275)*0.000001)*N6</f>
        <v>0</v>
      </c>
      <c r="BU147" s="2" t="s">
        <v>64</v>
      </c>
      <c r="BV147" s="2">
        <v>4</v>
      </c>
      <c r="BW147" s="3" t="s">
        <v>86</v>
      </c>
      <c r="BX147" s="3"/>
      <c r="BY147" s="3" t="str">
        <f>IF(CD118=1,0.0058, IF(CD118=2, 0.0029, IF(CD118=3, 0.0029, IF(CD118=4,0.0029, IF(CD118=5, 0.0029, IF(CD118=6, 0.011, IF(CD118=7, 0.009, IF(CD118=8, 0.009,""))))))))</f>
        <v/>
      </c>
      <c r="BZ147" s="3" t="str">
        <f>IF((O$8=BW147),BV147,"")</f>
        <v/>
      </c>
      <c r="CA147" s="3" t="str">
        <f>IFERROR(SMALL(BZ$144:BZ$148,BV147),"")</f>
        <v/>
      </c>
      <c r="CB147" s="3">
        <v>210</v>
      </c>
      <c r="CC147" s="3" t="b">
        <f>IF(CA$144=BV147,O$10*(CB147*BY147))</f>
        <v>0</v>
      </c>
      <c r="CD147" s="3" t="b">
        <f>IF(CA$144=BV147,O$11*(CB147*BY147))</f>
        <v>0</v>
      </c>
      <c r="CE147" s="3">
        <f>((((CC147-CD147)/1000)*56275)*0.000001)*O6</f>
        <v>0</v>
      </c>
      <c r="CF147" s="2" t="s">
        <v>64</v>
      </c>
      <c r="CG147" s="2"/>
    </row>
    <row r="148" spans="6:85">
      <c r="F148" s="2">
        <v>5</v>
      </c>
      <c r="G148" s="3" t="s">
        <v>87</v>
      </c>
      <c r="H148" s="3"/>
      <c r="I148" s="3" t="str">
        <f>IF(N118=1,0.0058, IF(N118=2, 0.0029, IF(N118=3, 0.0029, IF(N118=4, 0.0029, IF(N118=5, 0.0029, IF(N118=6, 0.011, IF(N118=7, 0.009, IF(N118=8, 0.009,""))))))))</f>
        <v/>
      </c>
      <c r="J148" s="3" t="str">
        <f>IF((J$8=G148),F148,"")</f>
        <v/>
      </c>
      <c r="K148" s="3" t="str">
        <f>IFERROR(SMALL(J$144:J$148,F148),"")</f>
        <v/>
      </c>
      <c r="L148" s="3">
        <v>251</v>
      </c>
      <c r="M148" s="3" t="b">
        <f>IF(K$144=F148,J$10*(L148*I148))</f>
        <v>0</v>
      </c>
      <c r="N148" s="3" t="b">
        <f>IF(K$144=F148,J$11*(L148*I148))</f>
        <v>0</v>
      </c>
      <c r="O148" s="3">
        <f>((((M148-N148)/1000)*56275)*0.000001)*J6</f>
        <v>0</v>
      </c>
      <c r="P148" s="2" t="s">
        <v>64</v>
      </c>
      <c r="Q148" s="2"/>
      <c r="R148" s="2"/>
      <c r="S148" s="2"/>
      <c r="U148" s="2">
        <v>5</v>
      </c>
      <c r="V148" s="3" t="s">
        <v>87</v>
      </c>
      <c r="W148" s="3"/>
      <c r="X148" s="3">
        <f>IF(AC118=1,0.0058, IF(AC118=2, 0.0029, IF(AC118=3, 0.0029, IF(AC118=4, 0.0029, IF(AC118=5, 0.0029, IF(AC118=6, 0.011, IF(AC118=7, 0.009, IF(AC118=8, 0.009,""))))))))</f>
        <v>5.7999999999999996E-3</v>
      </c>
      <c r="Y148" s="3" t="str">
        <f>IF((K$8=V148),U148,"")</f>
        <v/>
      </c>
      <c r="Z148" s="3" t="str">
        <f>IFERROR(SMALL(Y$144:Y$148,U148),"")</f>
        <v/>
      </c>
      <c r="AA148" s="3">
        <v>251</v>
      </c>
      <c r="AB148" s="3" t="b">
        <f>IF(Z$144=U148,K$10*(AA148*X148))</f>
        <v>0</v>
      </c>
      <c r="AC148" s="3" t="b">
        <f>IF(Z$144=U148,K$11*(AA148*X148))</f>
        <v>0</v>
      </c>
      <c r="AD148" s="3">
        <f>((((AB148-AC148)/1000)*56275)*0.000001)*K6</f>
        <v>0</v>
      </c>
      <c r="AE148" s="2" t="s">
        <v>64</v>
      </c>
      <c r="AF148" s="2"/>
      <c r="AG148" s="2"/>
      <c r="AH148" s="2"/>
      <c r="AI148" s="2">
        <v>5</v>
      </c>
      <c r="AJ148" s="3" t="s">
        <v>87</v>
      </c>
      <c r="AK148" s="3"/>
      <c r="AL148" s="3" t="str">
        <f>IF(AQ118=1,0.0058, IF(AQ118=2, 0.0029, IF(AQ118=3, 0.0029, IF(AQ118=4, 0.0029, IF(AQ118=5, 0.0029, IF(AQ118=6, 0.011, IF(AQ118=7, 0.009, IF(AQ118=8, 0.009,""))))))))</f>
        <v/>
      </c>
      <c r="AM148" s="3" t="str">
        <f>IF((L$8=AJ148),AI148,"")</f>
        <v/>
      </c>
      <c r="AN148" s="3" t="str">
        <f>IFERROR(SMALL(AM$144:AM$148,AI148),"")</f>
        <v/>
      </c>
      <c r="AO148" s="3">
        <v>251</v>
      </c>
      <c r="AP148" s="3" t="b">
        <f>IF(AN$144=AI148,L$10*(AO148*AL148))</f>
        <v>0</v>
      </c>
      <c r="AQ148" s="3" t="b">
        <f>IF(AN$144=AI148,L$11*(AO148*AL148))</f>
        <v>0</v>
      </c>
      <c r="AR148" s="3">
        <f>((((AP148-AQ148)/1000)*56275)*0.000001)*L6</f>
        <v>0</v>
      </c>
      <c r="AS148" s="2" t="s">
        <v>64</v>
      </c>
      <c r="AT148" s="2"/>
      <c r="AU148" s="2"/>
      <c r="AW148" s="2">
        <v>5</v>
      </c>
      <c r="AX148" s="3" t="s">
        <v>87</v>
      </c>
      <c r="AY148" s="3"/>
      <c r="AZ148" s="3" t="str">
        <f>IF(BE118=1,0.0058, IF(BE118=2, 0.0029, IF(BE118=3, 0.0029, IF(BE118=4, 0.0029, IF(BE118=5, 0.0029, IF(BE118=6, 0.011, IF(BE118=7, 0.009, IF(BE118=8, 0.009,""))))))))</f>
        <v/>
      </c>
      <c r="BA148" s="3" t="str">
        <f>IF((M$8=AX148),AW148,"")</f>
        <v/>
      </c>
      <c r="BB148" s="3" t="str">
        <f>IFERROR(SMALL(BA$144:BA$148,AW148),"")</f>
        <v/>
      </c>
      <c r="BC148" s="3">
        <v>251</v>
      </c>
      <c r="BD148" s="3" t="b">
        <f>IF(BB$144=AW148,M$10*(BC148*AZ148))</f>
        <v>0</v>
      </c>
      <c r="BE148" s="3" t="b">
        <f>IF(BB$144=AW148,M$11*(BC148*AZ148))</f>
        <v>0</v>
      </c>
      <c r="BF148" s="3">
        <f>((((BD148-BE148)/1000)*56275)*0.000001)*M6</f>
        <v>0</v>
      </c>
      <c r="BG148" s="2" t="s">
        <v>64</v>
      </c>
      <c r="BH148" s="2"/>
      <c r="BK148" s="2">
        <v>5</v>
      </c>
      <c r="BL148" s="3" t="s">
        <v>87</v>
      </c>
      <c r="BM148" s="3"/>
      <c r="BN148" s="3" t="str">
        <f>IF(BS118=1,0.0058, IF(BS118=2, 0.0029, IF(BS118=3, 0.0029, IF(BS118=4, 0.0029, IF(BS118=5, 0.0029, IF(BS118=6, 0.011, IF(BS118=7, 0.009, IF(BS118=8, 0.009,""))))))))</f>
        <v/>
      </c>
      <c r="BO148" s="3" t="str">
        <f>IF((N$8=BL148),BK148,"")</f>
        <v/>
      </c>
      <c r="BP148" s="3" t="str">
        <f>IFERROR(SMALL(BO$144:BO$148,BK148),"")</f>
        <v/>
      </c>
      <c r="BQ148" s="3">
        <v>251</v>
      </c>
      <c r="BR148" s="3" t="b">
        <f>IF(BP$144=BK148,N$10*(BQ148*BN148))</f>
        <v>0</v>
      </c>
      <c r="BS148" s="3" t="b">
        <f>IF(BP$144=BK148,N$11*(BQ148*BN148))</f>
        <v>0</v>
      </c>
      <c r="BT148" s="3">
        <f>((((BR148-BS148)/1000)*56275)*0.000001)*N6</f>
        <v>0</v>
      </c>
      <c r="BU148" s="2" t="s">
        <v>64</v>
      </c>
      <c r="BV148" s="2">
        <v>5</v>
      </c>
      <c r="BW148" s="3" t="s">
        <v>87</v>
      </c>
      <c r="BX148" s="3"/>
      <c r="BY148" s="3" t="str">
        <f>IF(CD118=1,0.0058, IF(CD118=2, 0.0029, IF(CD118=3, 0.0029, IF(CD118=4, 0.0029, IF(CD118=5, 0.0029, IF(CD118=6, 0.011, IF(CD118=7, 0.009, IF(CD118=8, 0.009,""))))))))</f>
        <v/>
      </c>
      <c r="BZ148" s="3" t="str">
        <f>IF((O$8=BW148),BV148,"")</f>
        <v/>
      </c>
      <c r="CA148" s="3" t="str">
        <f>IFERROR(SMALL(BZ$144:BZ$148,BV148),"")</f>
        <v/>
      </c>
      <c r="CB148" s="3">
        <v>251</v>
      </c>
      <c r="CC148" s="3" t="b">
        <f>IF(CA$144=BV148,O$10*(CB148*BY148))</f>
        <v>0</v>
      </c>
      <c r="CD148" s="3" t="b">
        <f>IF(CA$144=BV148,O$11*(CB148*BY148))</f>
        <v>0</v>
      </c>
      <c r="CE148" s="3">
        <f>((((CC148-CD148)/1000)*56275)*0.000001)*O6</f>
        <v>0</v>
      </c>
      <c r="CF148" s="2" t="s">
        <v>64</v>
      </c>
      <c r="CG148" s="2"/>
    </row>
    <row r="149" spans="6:85">
      <c r="F149" s="2"/>
      <c r="G149" s="2"/>
      <c r="H149" s="2"/>
      <c r="I149" s="2"/>
      <c r="J149" s="2"/>
      <c r="K149" s="2"/>
      <c r="L149" s="2"/>
      <c r="M149" s="2"/>
      <c r="N149" s="2"/>
      <c r="O149" s="2"/>
      <c r="P149" s="2"/>
      <c r="Q149" s="2"/>
      <c r="R149" s="2"/>
      <c r="S149" s="2"/>
      <c r="U149" s="2"/>
      <c r="V149" s="2"/>
      <c r="W149" s="2"/>
      <c r="X149" s="2"/>
      <c r="Y149" s="2"/>
      <c r="Z149" s="2"/>
      <c r="AA149" s="2"/>
      <c r="AB149" s="2"/>
      <c r="AC149" s="2"/>
      <c r="AD149" s="2"/>
      <c r="AE149" s="2"/>
      <c r="AF149" s="2"/>
      <c r="AG149" s="2"/>
      <c r="AH149" s="2"/>
      <c r="AI149" s="2"/>
      <c r="AJ149" s="2"/>
      <c r="AK149" s="2"/>
      <c r="AL149" s="2"/>
      <c r="AM149" s="2"/>
      <c r="AN149" s="2"/>
      <c r="AO149" s="2"/>
      <c r="AP149" s="2"/>
      <c r="AQ149" s="2"/>
      <c r="AR149" s="2"/>
      <c r="AS149" s="2"/>
      <c r="AT149" s="2"/>
      <c r="AU149" s="2"/>
      <c r="AW149" s="2"/>
      <c r="AX149" s="2"/>
      <c r="AY149" s="2"/>
      <c r="AZ149" s="2"/>
      <c r="BA149" s="2"/>
      <c r="BB149" s="2"/>
      <c r="BC149" s="2"/>
      <c r="BD149" s="2"/>
      <c r="BE149" s="2"/>
      <c r="BF149" s="2"/>
      <c r="BG149" s="2"/>
      <c r="BH149" s="2"/>
      <c r="BK149" s="2"/>
      <c r="BL149" s="2"/>
      <c r="BM149" s="2"/>
      <c r="BN149" s="2"/>
      <c r="BO149" s="2"/>
      <c r="BP149" s="2"/>
      <c r="BQ149" s="2"/>
      <c r="BR149" s="2"/>
      <c r="BS149" s="2"/>
      <c r="BT149" s="2"/>
      <c r="BU149" s="2"/>
      <c r="BV149" s="2"/>
      <c r="BW149" s="2"/>
      <c r="BX149" s="2"/>
      <c r="BY149" s="2"/>
      <c r="BZ149" s="2"/>
      <c r="CA149" s="2"/>
      <c r="CB149" s="2"/>
      <c r="CC149" s="2"/>
      <c r="CD149" s="2"/>
      <c r="CE149" s="2"/>
      <c r="CF149" s="2"/>
      <c r="CG149" s="2"/>
    </row>
    <row r="150" spans="6:85">
      <c r="F150" s="2"/>
      <c r="G150" s="2"/>
      <c r="H150" s="2"/>
      <c r="I150" s="12" t="s">
        <v>71</v>
      </c>
      <c r="J150" s="2" t="s">
        <v>58</v>
      </c>
      <c r="K150" s="2" t="s">
        <v>58</v>
      </c>
      <c r="L150" s="12" t="s">
        <v>59</v>
      </c>
      <c r="M150" s="2" t="s">
        <v>60</v>
      </c>
      <c r="N150" s="2" t="s">
        <v>61</v>
      </c>
      <c r="O150" s="2" t="s">
        <v>62</v>
      </c>
      <c r="P150" s="2"/>
      <c r="Q150" s="2"/>
      <c r="R150" s="2"/>
      <c r="S150" s="2"/>
      <c r="U150" s="2"/>
      <c r="V150" s="2"/>
      <c r="W150" s="2"/>
      <c r="X150" s="12" t="s">
        <v>71</v>
      </c>
      <c r="Y150" s="2" t="s">
        <v>58</v>
      </c>
      <c r="Z150" s="2" t="s">
        <v>58</v>
      </c>
      <c r="AA150" s="12" t="s">
        <v>59</v>
      </c>
      <c r="AB150" s="2" t="s">
        <v>60</v>
      </c>
      <c r="AC150" s="2" t="s">
        <v>61</v>
      </c>
      <c r="AD150" s="2" t="s">
        <v>62</v>
      </c>
      <c r="AE150" s="2"/>
      <c r="AF150" s="2"/>
      <c r="AG150" s="2"/>
      <c r="AH150" s="2"/>
      <c r="AI150" s="2"/>
      <c r="AJ150" s="2"/>
      <c r="AK150" s="2"/>
      <c r="AL150" s="12" t="s">
        <v>71</v>
      </c>
      <c r="AM150" s="2" t="s">
        <v>58</v>
      </c>
      <c r="AN150" s="2" t="s">
        <v>58</v>
      </c>
      <c r="AO150" s="12" t="s">
        <v>59</v>
      </c>
      <c r="AP150" s="2" t="s">
        <v>60</v>
      </c>
      <c r="AQ150" s="2" t="s">
        <v>61</v>
      </c>
      <c r="AR150" s="2" t="s">
        <v>62</v>
      </c>
      <c r="AS150" s="2"/>
      <c r="AT150" s="2"/>
      <c r="AU150" s="2"/>
      <c r="AW150" s="2"/>
      <c r="AX150" s="2"/>
      <c r="AY150" s="2"/>
      <c r="AZ150" s="12" t="s">
        <v>71</v>
      </c>
      <c r="BA150" s="2" t="s">
        <v>58</v>
      </c>
      <c r="BB150" s="2" t="s">
        <v>58</v>
      </c>
      <c r="BC150" s="12" t="s">
        <v>59</v>
      </c>
      <c r="BD150" s="2" t="s">
        <v>60</v>
      </c>
      <c r="BE150" s="2" t="s">
        <v>61</v>
      </c>
      <c r="BF150" s="2" t="s">
        <v>62</v>
      </c>
      <c r="BG150" s="2"/>
      <c r="BH150" s="2"/>
      <c r="BK150" s="2"/>
      <c r="BL150" s="2"/>
      <c r="BM150" s="2"/>
      <c r="BN150" s="12" t="s">
        <v>71</v>
      </c>
      <c r="BO150" s="2" t="s">
        <v>58</v>
      </c>
      <c r="BP150" s="2" t="s">
        <v>58</v>
      </c>
      <c r="BQ150" s="12" t="s">
        <v>59</v>
      </c>
      <c r="BR150" s="2" t="s">
        <v>60</v>
      </c>
      <c r="BS150" s="2" t="s">
        <v>61</v>
      </c>
      <c r="BT150" s="2" t="s">
        <v>62</v>
      </c>
      <c r="BU150" s="2"/>
      <c r="BV150" s="2"/>
      <c r="BW150" s="2"/>
      <c r="BX150" s="2"/>
      <c r="BY150" s="12" t="s">
        <v>71</v>
      </c>
      <c r="BZ150" s="2" t="s">
        <v>58</v>
      </c>
      <c r="CA150" s="2" t="s">
        <v>58</v>
      </c>
      <c r="CB150" s="12" t="s">
        <v>59</v>
      </c>
      <c r="CC150" s="2" t="s">
        <v>60</v>
      </c>
      <c r="CD150" s="2" t="s">
        <v>61</v>
      </c>
      <c r="CE150" s="2" t="s">
        <v>62</v>
      </c>
      <c r="CF150" s="2"/>
      <c r="CG150" s="2"/>
    </row>
    <row r="151" spans="6:85">
      <c r="F151" s="2">
        <v>1</v>
      </c>
      <c r="G151" s="3" t="s">
        <v>83</v>
      </c>
      <c r="H151" s="3"/>
      <c r="I151" s="3" t="str">
        <f>IF(I118=1,0,"")</f>
        <v/>
      </c>
      <c r="J151" s="3" t="str">
        <f>IF((J$8=G151),F151,"")</f>
        <v/>
      </c>
      <c r="K151" s="3" t="str">
        <f>IFERROR(SMALL(J$151:J$155,F151),"")</f>
        <v/>
      </c>
      <c r="L151" s="3">
        <v>177</v>
      </c>
      <c r="M151" s="3" t="b">
        <f>IF(K$151=F151,J$10*(L151*I151))</f>
        <v>0</v>
      </c>
      <c r="N151" s="3" t="b">
        <f>IF(K$151=F151,J$11*(L151*I151))</f>
        <v>0</v>
      </c>
      <c r="O151" s="3">
        <f>((((M151-N151)/1000)*4281)*0.000001)*J6</f>
        <v>0</v>
      </c>
      <c r="P151" s="2" t="s">
        <v>64</v>
      </c>
      <c r="Q151" s="2"/>
      <c r="R151" s="2"/>
      <c r="S151" s="2"/>
      <c r="U151" s="2">
        <v>1</v>
      </c>
      <c r="V151" s="3" t="s">
        <v>83</v>
      </c>
      <c r="W151" s="3"/>
      <c r="X151" s="3" t="str">
        <f>IF(X118=1,0,"")</f>
        <v/>
      </c>
      <c r="Y151" s="3" t="str">
        <f>IF((K$8=V151),U151,"")</f>
        <v/>
      </c>
      <c r="Z151" s="3" t="str">
        <f>IFERROR(SMALL(Y$151:Y$155,U151),"")</f>
        <v/>
      </c>
      <c r="AA151" s="3">
        <v>177</v>
      </c>
      <c r="AB151" s="3" t="b">
        <f>IF(Z$151=U151,K$10*(AA151*X151))</f>
        <v>0</v>
      </c>
      <c r="AC151" s="3" t="b">
        <f>IF(Z$151=U151,K$11*(AA151*X151))</f>
        <v>0</v>
      </c>
      <c r="AD151" s="3">
        <f>((((AB151-AC151)/1000)*4281)*0.000001)*K6</f>
        <v>0</v>
      </c>
      <c r="AE151" s="2" t="s">
        <v>64</v>
      </c>
      <c r="AF151" s="2"/>
      <c r="AG151" s="2"/>
      <c r="AH151" s="2"/>
      <c r="AI151" s="2">
        <v>1</v>
      </c>
      <c r="AJ151" s="3" t="s">
        <v>83</v>
      </c>
      <c r="AK151" s="3"/>
      <c r="AL151" s="3" t="str">
        <f>IF(AL118=1,0,"")</f>
        <v/>
      </c>
      <c r="AM151" s="3" t="str">
        <f>IF((L$8=AJ151),AI151,"")</f>
        <v/>
      </c>
      <c r="AN151" s="3" t="str">
        <f>IFERROR(SMALL(AM$151:AM$155,AI151),"")</f>
        <v/>
      </c>
      <c r="AO151" s="3">
        <v>177</v>
      </c>
      <c r="AP151" s="3" t="b">
        <f>IF(AN$151=AI151,L$10*(AO151*AL151))</f>
        <v>0</v>
      </c>
      <c r="AQ151" s="3" t="b">
        <f>IF(AN$151=AI151,L$11*(AO151*AL151))</f>
        <v>0</v>
      </c>
      <c r="AR151" s="3">
        <f>((((AP151-AQ151)/1000)*4281)*0.000001)*L6</f>
        <v>0</v>
      </c>
      <c r="AS151" s="2" t="s">
        <v>64</v>
      </c>
      <c r="AT151" s="2"/>
      <c r="AU151" s="2"/>
      <c r="AW151" s="2">
        <v>1</v>
      </c>
      <c r="AX151" s="3" t="s">
        <v>83</v>
      </c>
      <c r="AY151" s="3"/>
      <c r="AZ151" s="3" t="str">
        <f>IF(AZ118=1,0,"")</f>
        <v/>
      </c>
      <c r="BA151" s="3" t="str">
        <f>IF((M$8=AX151),AW151,"")</f>
        <v/>
      </c>
      <c r="BB151" s="3" t="str">
        <f>IFERROR(SMALL(BA$151:BA$155,AW151),"")</f>
        <v/>
      </c>
      <c r="BC151" s="3">
        <v>177</v>
      </c>
      <c r="BD151" s="3" t="b">
        <f>IF(BB$151=AW151,M$10*(BC151*AZ151))</f>
        <v>0</v>
      </c>
      <c r="BE151" s="3" t="b">
        <f>IF(BB$151=AW151,M$11*(BC151*AZ151))</f>
        <v>0</v>
      </c>
      <c r="BF151" s="3">
        <f>((((BD151-BE151)/1000)*4281)*0.000001)*M6</f>
        <v>0</v>
      </c>
      <c r="BG151" s="2" t="s">
        <v>64</v>
      </c>
      <c r="BH151" s="2"/>
      <c r="BK151" s="2">
        <v>1</v>
      </c>
      <c r="BL151" s="3" t="s">
        <v>83</v>
      </c>
      <c r="BM151" s="3"/>
      <c r="BN151" s="3" t="str">
        <f>IF(BN118=1,0,"")</f>
        <v/>
      </c>
      <c r="BO151" s="3" t="str">
        <f>IF((N$8=BL151),BK151,"")</f>
        <v/>
      </c>
      <c r="BP151" s="3" t="str">
        <f>IFERROR(SMALL(BO$151:BO$155,BK151),"")</f>
        <v/>
      </c>
      <c r="BQ151" s="3">
        <v>177</v>
      </c>
      <c r="BR151" s="3" t="b">
        <f>IF(BP$151=BK151,N$10*(BQ151*BN151))</f>
        <v>0</v>
      </c>
      <c r="BS151" s="3" t="b">
        <f>IF(BP$151=BK151,N$11*(BQ151*BN151))</f>
        <v>0</v>
      </c>
      <c r="BT151" s="3">
        <f>((((BR151-BS151)/1000)*4281)*0.000001)*N6</f>
        <v>0</v>
      </c>
      <c r="BU151" s="2" t="s">
        <v>64</v>
      </c>
      <c r="BV151" s="2">
        <v>1</v>
      </c>
      <c r="BW151" s="3" t="s">
        <v>83</v>
      </c>
      <c r="BX151" s="3"/>
      <c r="BY151" s="3" t="str">
        <f>IF(BY118=1,0,"")</f>
        <v/>
      </c>
      <c r="BZ151" s="3" t="str">
        <f>IF((O$8=BW151),BV151,"")</f>
        <v/>
      </c>
      <c r="CA151" s="3" t="str">
        <f>IFERROR(SMALL(BZ$151:BZ$155,BV151),"")</f>
        <v/>
      </c>
      <c r="CB151" s="3">
        <v>177</v>
      </c>
      <c r="CC151" s="3" t="b">
        <f>IF(CA$151=BV151,O$10*(CB151*BY151))</f>
        <v>0</v>
      </c>
      <c r="CD151" s="3" t="b">
        <f>IF(CA$151=BV151,O$11*(CB151*BY151))</f>
        <v>0</v>
      </c>
      <c r="CE151" s="3">
        <f>((((CC151-CD151)/1000)*4281)*0.000001)*O6</f>
        <v>0</v>
      </c>
      <c r="CF151" s="2" t="s">
        <v>64</v>
      </c>
      <c r="CG151" s="2"/>
    </row>
    <row r="152" spans="6:85">
      <c r="F152" s="2">
        <v>2</v>
      </c>
      <c r="G152" s="3" t="s">
        <v>84</v>
      </c>
      <c r="H152" s="3"/>
      <c r="I152" s="3" t="str">
        <f>IF(N118=1, 0.0384, IF(N118=2, 0.129, IF(N118=3, 0.061, IF(N118=4, 0.0566, IF(N118=5, 0.0106, IF(N118=6, 0.0106, IF(N118=7, 0.0005, IF(N118=8, 0.0005,""))))))))</f>
        <v/>
      </c>
      <c r="J152" s="3" t="str">
        <f>IF((J$8=G152),F152,"")</f>
        <v/>
      </c>
      <c r="K152" s="3" t="str">
        <f>IFERROR(SMALL(J$151:J$155,F152),"")</f>
        <v/>
      </c>
      <c r="L152" s="3">
        <v>101</v>
      </c>
      <c r="M152" s="3" t="b">
        <f>IF(K$151=F152,J$10*(L152*I152))</f>
        <v>0</v>
      </c>
      <c r="N152" s="3" t="b">
        <f>IF(K$151=F152,J$11*(L152*I152))</f>
        <v>0</v>
      </c>
      <c r="O152" s="3">
        <f>((((M152-N152)/1000)*23713)*0.000001)*J6</f>
        <v>0</v>
      </c>
      <c r="P152" s="2" t="s">
        <v>64</v>
      </c>
      <c r="Q152" s="2"/>
      <c r="R152" s="2"/>
      <c r="S152" s="2"/>
      <c r="U152" s="2">
        <v>2</v>
      </c>
      <c r="V152" s="3" t="s">
        <v>84</v>
      </c>
      <c r="W152" s="3"/>
      <c r="X152" s="3">
        <f>IF(AC118=1, 0.0384, IF(AC118=2, 0.129, IF(AC118=3, 0.061, IF(AC118=4, 0.0566, IF(AC118=5, 0.0106, IF(AC118=6, 0.0106, IF(AC118=7, 0.0005, IF(AC118=8, 0.0005,""))))))))</f>
        <v>3.8399999999999997E-2</v>
      </c>
      <c r="Y152" s="3" t="str">
        <f>IF((K$8=V152),U152,"")</f>
        <v/>
      </c>
      <c r="Z152" s="3" t="str">
        <f>IFERROR(SMALL(Y$151:Y$155,U152),"")</f>
        <v/>
      </c>
      <c r="AA152" s="3">
        <v>101</v>
      </c>
      <c r="AB152" s="3" t="b">
        <f>IF(Z$151=U152,K$10*(AA152*X152))</f>
        <v>0</v>
      </c>
      <c r="AC152" s="3" t="b">
        <f>IF(Z$151=U152,K$11*(AA152*X152))</f>
        <v>0</v>
      </c>
      <c r="AD152" s="3">
        <f>((((AB152-AC152)/1000)*23713)*0.000001)*K6</f>
        <v>0</v>
      </c>
      <c r="AE152" s="2" t="s">
        <v>64</v>
      </c>
      <c r="AF152" s="2"/>
      <c r="AG152" s="2"/>
      <c r="AH152" s="2"/>
      <c r="AI152" s="2">
        <v>2</v>
      </c>
      <c r="AJ152" s="3" t="s">
        <v>84</v>
      </c>
      <c r="AK152" s="3"/>
      <c r="AL152" s="3" t="str">
        <f>IF(AQ118=1, 0.0384, IF(AQ118=2, 0.129, IF(AQ118=3, 0.061, IF(AQ118=4, 0.0566, IF(AQ118=5, 0.0106, IF(AQ118=6, 0.0106, IF(AQ118=7, 0.0005, IF(AQ118=8, 0.0005,""))))))))</f>
        <v/>
      </c>
      <c r="AM152" s="3" t="str">
        <f>IF((L$8=AJ152),AI152,"")</f>
        <v/>
      </c>
      <c r="AN152" s="3" t="str">
        <f>IFERROR(SMALL(AM$151:AM$155,AI152),"")</f>
        <v/>
      </c>
      <c r="AO152" s="3">
        <v>101</v>
      </c>
      <c r="AP152" s="3" t="b">
        <f>IF(AN$151=AI152,L$10*(AO152*AL152))</f>
        <v>0</v>
      </c>
      <c r="AQ152" s="3" t="b">
        <f>IF(AN$151=AI152,L$11*(AO152*AL152))</f>
        <v>0</v>
      </c>
      <c r="AR152" s="3">
        <f>((((AP152-AQ152)/1000)*23713)*0.000001)*L6</f>
        <v>0</v>
      </c>
      <c r="AS152" s="2" t="s">
        <v>64</v>
      </c>
      <c r="AT152" s="2"/>
      <c r="AU152" s="2"/>
      <c r="AW152" s="2">
        <v>2</v>
      </c>
      <c r="AX152" s="3" t="s">
        <v>84</v>
      </c>
      <c r="AY152" s="3"/>
      <c r="AZ152" s="3" t="str">
        <f>IF(BE118=1, 0.0384, IF(BE118=2, 0.129, IF(BE118=3, 0.061, IF(BE118=4, 0.0566, IF(BE118=5, 0.0106, IF(BE118=6, 0.0106, IF(BE118=7, 0.0005, IF(BE118=8, 0.0005,""))))))))</f>
        <v/>
      </c>
      <c r="BA152" s="3" t="str">
        <f>IF((M$8=AX152),AW152,"")</f>
        <v/>
      </c>
      <c r="BB152" s="3" t="str">
        <f>IFERROR(SMALL(BA$151:BA$155,AW152),"")</f>
        <v/>
      </c>
      <c r="BC152" s="3">
        <v>101</v>
      </c>
      <c r="BD152" s="3" t="b">
        <f>IF(BB$151=AW152,M$10*(BC152*AZ152))</f>
        <v>0</v>
      </c>
      <c r="BE152" s="3" t="b">
        <f>IF(BB$151=AW152,M$11*(BC152*AZ152))</f>
        <v>0</v>
      </c>
      <c r="BF152" s="3">
        <f>((((BD152-BE152)/1000)*23713)*0.000001)*M6</f>
        <v>0</v>
      </c>
      <c r="BG152" s="2" t="s">
        <v>64</v>
      </c>
      <c r="BH152" s="2"/>
      <c r="BK152" s="2">
        <v>2</v>
      </c>
      <c r="BL152" s="3" t="s">
        <v>84</v>
      </c>
      <c r="BM152" s="3"/>
      <c r="BN152" s="3" t="str">
        <f>IF(BS118=1, 0.0384, IF(BS118=2, 0.129, IF(BS118=3, 0.061, IF(BS118=4, 0.0566, IF(BS118=5, 0.0106, IF(BS118=6, 0.0106, IF(BS118=7, 0.0005, IF(BS118=8, 0.0005,""))))))))</f>
        <v/>
      </c>
      <c r="BO152" s="3" t="str">
        <f>IF((N$8=BL152),BK152,"")</f>
        <v/>
      </c>
      <c r="BP152" s="3" t="str">
        <f>IFERROR(SMALL(BO$151:BO$155,BK152),"")</f>
        <v/>
      </c>
      <c r="BQ152" s="3">
        <v>101</v>
      </c>
      <c r="BR152" s="3" t="b">
        <f>IF(BP$151=BK152,N$10*(BQ152*BN152))</f>
        <v>0</v>
      </c>
      <c r="BS152" s="3" t="b">
        <f>IF(BP$151=BK152,N$11*(BQ152*BN152))</f>
        <v>0</v>
      </c>
      <c r="BT152" s="3">
        <f>((((BR152-BS152)/1000)*23713)*0.000001)*N6</f>
        <v>0</v>
      </c>
      <c r="BU152" s="2" t="s">
        <v>64</v>
      </c>
      <c r="BV152" s="2">
        <v>2</v>
      </c>
      <c r="BW152" s="3" t="s">
        <v>84</v>
      </c>
      <c r="BX152" s="3"/>
      <c r="BY152" s="3" t="str">
        <f>IF(CD118=1, 0.0384, IF(CD118=2, 0.129, IF(CD118=3, 0.061, IF(CD118=4, 0.0566, IF(CD118=5, 0.0106, IF(CD118=6, 0.0106, IF(CD118=7, 0.0005, IF(CD118=8, 0.0005,""))))))))</f>
        <v/>
      </c>
      <c r="BZ152" s="3" t="str">
        <f>IF((O$8=BW152),BV152,"")</f>
        <v/>
      </c>
      <c r="CA152" s="3" t="str">
        <f>IFERROR(SMALL(BZ$151:BZ$155,BV152),"")</f>
        <v/>
      </c>
      <c r="CB152" s="3">
        <v>101</v>
      </c>
      <c r="CC152" s="3" t="b">
        <f>IF(CA$151=BV152,O$10*(CB152*BY152))</f>
        <v>0</v>
      </c>
      <c r="CD152" s="3" t="b">
        <f>IF(CA$151=BV152,O$11*(CB152*BY152))</f>
        <v>0</v>
      </c>
      <c r="CE152" s="3">
        <f>((((CC152-CD152)/1000)*23713)*0.000001)*O6</f>
        <v>0</v>
      </c>
      <c r="CF152" s="2" t="s">
        <v>64</v>
      </c>
      <c r="CG152" s="2"/>
    </row>
    <row r="153" spans="6:85">
      <c r="F153" s="2">
        <v>3</v>
      </c>
      <c r="G153" s="3" t="s">
        <v>85</v>
      </c>
      <c r="H153" s="3"/>
      <c r="I153" s="3" t="str">
        <f>IF(N118=1,0.0698, IF(N118=2, 0.201, IF(N118=3, 0.104, IF(N118=4, 0.0881, IF(N118=5, 0.0161, IF(N118=6, 0.0161, IF(N118=7, 0.0008, IF(N118=8, 0.0008,""))))))))</f>
        <v/>
      </c>
      <c r="J153" s="3" t="str">
        <f>IF((J$8=G153),F153,"")</f>
        <v/>
      </c>
      <c r="K153" s="3" t="str">
        <f>IFERROR(SMALL(J$151:J$155,F153),"")</f>
        <v/>
      </c>
      <c r="L153" s="3">
        <v>155</v>
      </c>
      <c r="M153" s="3" t="b">
        <f>IF(K$151=F153,J$10*(L153*I153))</f>
        <v>0</v>
      </c>
      <c r="N153" s="3" t="b">
        <f>IF(K$151=F153,J$11*(L153*I153))</f>
        <v>0</v>
      </c>
      <c r="O153" s="3">
        <f>((((M153-N153)/1000)*56275)*0.000001)*J6</f>
        <v>0</v>
      </c>
      <c r="P153" s="2" t="s">
        <v>64</v>
      </c>
      <c r="Q153" s="2"/>
      <c r="R153" s="2"/>
      <c r="S153" s="2"/>
      <c r="U153" s="2">
        <v>3</v>
      </c>
      <c r="V153" s="3" t="s">
        <v>85</v>
      </c>
      <c r="W153" s="3"/>
      <c r="X153" s="3">
        <f>IF(AC118=1,0.0698, IF(AC118=2, 0.201, IF(AC118=3, 0.104, IF(AC118=4, 0.0881, IF(AC118=5, 0.0161, IF(AC118=6, 0.0161, IF(AC118=7, 0.0008, IF(AC118=8, 0.0008,""))))))))</f>
        <v>6.9800000000000001E-2</v>
      </c>
      <c r="Y153" s="3" t="str">
        <f>IF((K$8=V153),U153,"")</f>
        <v/>
      </c>
      <c r="Z153" s="3" t="str">
        <f>IFERROR(SMALL(Y$151:Y$155,U153),"")</f>
        <v/>
      </c>
      <c r="AA153" s="3">
        <v>155</v>
      </c>
      <c r="AB153" s="3" t="b">
        <f>IF(Z$151=U153,K$10*(AA153*X153))</f>
        <v>0</v>
      </c>
      <c r="AC153" s="3" t="b">
        <f>IF(Z$151=U153,K$11*(AA153*X153))</f>
        <v>0</v>
      </c>
      <c r="AD153" s="3">
        <f>((((AB153-AC153)/1000)*56275)*0.000001)*K6</f>
        <v>0</v>
      </c>
      <c r="AE153" s="2" t="s">
        <v>64</v>
      </c>
      <c r="AF153" s="2"/>
      <c r="AG153" s="2"/>
      <c r="AH153" s="2"/>
      <c r="AI153" s="2">
        <v>3</v>
      </c>
      <c r="AJ153" s="3" t="s">
        <v>85</v>
      </c>
      <c r="AK153" s="3"/>
      <c r="AL153" s="3" t="str">
        <f>IF(AQ118=1,0.0698, IF(AQ118=2, 0.201, IF(AQ118=3, 0.104, IF(AQ118=4, 0.0881, IF(AQ118=5, 0.0161, IF(AQ118=6, 0.0161, IF(AQ118=7, 0.0008, IF(AQ118=8, 0.0008,""))))))))</f>
        <v/>
      </c>
      <c r="AM153" s="3" t="str">
        <f>IF((L$8=AJ153),AI153,"")</f>
        <v/>
      </c>
      <c r="AN153" s="3" t="str">
        <f>IFERROR(SMALL(AM$151:AM$155,AI153),"")</f>
        <v/>
      </c>
      <c r="AO153" s="3">
        <v>155</v>
      </c>
      <c r="AP153" s="3" t="b">
        <f>IF(AN$151=AI153,L$10*(AO153*AL153))</f>
        <v>0</v>
      </c>
      <c r="AQ153" s="3" t="b">
        <f>IF(AN$151=AI153,L$11*(AO153*AL153))</f>
        <v>0</v>
      </c>
      <c r="AR153" s="3">
        <f>((((AP153-AQ153)/1000)*56275)*0.000001)*L6</f>
        <v>0</v>
      </c>
      <c r="AS153" s="2" t="s">
        <v>64</v>
      </c>
      <c r="AT153" s="2"/>
      <c r="AU153" s="2"/>
      <c r="AW153" s="2">
        <v>3</v>
      </c>
      <c r="AX153" s="3" t="s">
        <v>85</v>
      </c>
      <c r="AY153" s="3"/>
      <c r="AZ153" s="3" t="str">
        <f>IF(BE118=1,0.0698, IF(BE118=2, 0.201, IF(BE118=3, 0.104, IF(BE118=4, 0.0881, IF(BE118=5, 0.0161, IF(BE118=6, 0.0161, IF(BE118=7, 0.0008, IF(BE118=8, 0.0008,""))))))))</f>
        <v/>
      </c>
      <c r="BA153" s="3" t="str">
        <f>IF((M$8=AX153),AW153,"")</f>
        <v/>
      </c>
      <c r="BB153" s="3" t="str">
        <f>IFERROR(SMALL(BA$151:BA$155,AW153),"")</f>
        <v/>
      </c>
      <c r="BC153" s="3">
        <v>155</v>
      </c>
      <c r="BD153" s="3" t="b">
        <f>IF(BB$151=AW153,M$10*(BC153*AZ153))</f>
        <v>0</v>
      </c>
      <c r="BE153" s="3" t="b">
        <f>IF(BB$151=AW153,M$11*(BC153*AZ153))</f>
        <v>0</v>
      </c>
      <c r="BF153" s="3">
        <f>((((BD153-BE153)/1000)*56275)*0.000001)*M6</f>
        <v>0</v>
      </c>
      <c r="BG153" s="2" t="s">
        <v>64</v>
      </c>
      <c r="BH153" s="2"/>
      <c r="BK153" s="2">
        <v>3</v>
      </c>
      <c r="BL153" s="3" t="s">
        <v>85</v>
      </c>
      <c r="BM153" s="3"/>
      <c r="BN153" s="3" t="str">
        <f>IF(BS118=1,0.0698, IF(BS118=2, 0.201, IF(BS118=3, 0.104, IF(BS118=4, 0.0881, IF(BS118=5, 0.0161, IF(BS118=6, 0.0161, IF(BS118=7, 0.0008, IF(BS118=8, 0.0008,""))))))))</f>
        <v/>
      </c>
      <c r="BO153" s="3" t="str">
        <f>IF((N$8=BL153),BK153,"")</f>
        <v/>
      </c>
      <c r="BP153" s="3" t="str">
        <f>IFERROR(SMALL(BO$151:BO$155,BK153),"")</f>
        <v/>
      </c>
      <c r="BQ153" s="3">
        <v>155</v>
      </c>
      <c r="BR153" s="3" t="b">
        <f>IF(BP$151=BK153,N$10*(BQ153*BN153))</f>
        <v>0</v>
      </c>
      <c r="BS153" s="3" t="b">
        <f>IF(BP$151=BK153,N$11*(BQ153*BN153))</f>
        <v>0</v>
      </c>
      <c r="BT153" s="3">
        <f>((((BR153-BS153)/1000)*56275)*0.000001)*N6</f>
        <v>0</v>
      </c>
      <c r="BU153" s="2" t="s">
        <v>64</v>
      </c>
      <c r="BV153" s="2">
        <v>3</v>
      </c>
      <c r="BW153" s="3" t="s">
        <v>85</v>
      </c>
      <c r="BX153" s="3"/>
      <c r="BY153" s="3" t="str">
        <f>IF(CD118=1,0.0698, IF(CD118=2, 0.201, IF(CD118=3, 0.104, IF(CD118=4, 0.0881, IF(CD118=5, 0.0161, IF(CD118=6, 0.0161, IF(CD118=7, 0.0008, IF(CD118=8, 0.0008,""))))))))</f>
        <v/>
      </c>
      <c r="BZ153" s="3" t="str">
        <f>IF((O$8=BW153),BV153,"")</f>
        <v/>
      </c>
      <c r="CA153" s="3" t="str">
        <f>IFERROR(SMALL(BZ$151:BZ$155,BV153),"")</f>
        <v/>
      </c>
      <c r="CB153" s="3">
        <v>155</v>
      </c>
      <c r="CC153" s="3" t="b">
        <f>IF(CA$151=BV153,O$10*(CB153*BY153))</f>
        <v>0</v>
      </c>
      <c r="CD153" s="3" t="b">
        <f>IF(CA$151=BV153,O$11*(CB153*BY153))</f>
        <v>0</v>
      </c>
      <c r="CE153" s="3">
        <f>((((CC153-CD153)/1000)*56275)*0.000001)*O6</f>
        <v>0</v>
      </c>
      <c r="CF153" s="2" t="s">
        <v>64</v>
      </c>
      <c r="CG153" s="2"/>
    </row>
    <row r="154" spans="6:85">
      <c r="F154" s="2">
        <v>4</v>
      </c>
      <c r="G154" s="3" t="s">
        <v>86</v>
      </c>
      <c r="H154" s="3"/>
      <c r="I154" s="3" t="str">
        <f>IF(N118=1,0.09031, IF(N118=2,0.297, IF(N118=3,0.155, IF(N118=4, 0.13, IF(N118=5, 0.0239, IF(N118=6, 0.0239, IF(N118=7, 0.0012, IF(N118=8, 0.0012,""))))))))</f>
        <v/>
      </c>
      <c r="J154" s="3" t="str">
        <f>IF((J$8=G154),F154,"")</f>
        <v/>
      </c>
      <c r="K154" s="3" t="str">
        <f>IFERROR(SMALL(J$151:J$155,F154),"")</f>
        <v/>
      </c>
      <c r="L154" s="3">
        <v>210</v>
      </c>
      <c r="M154" s="3" t="b">
        <f>IF(K$151=F154,J$10*(L154*I154))</f>
        <v>0</v>
      </c>
      <c r="N154" s="3" t="b">
        <f>IF(K$151=F154,J$11*(L154*I154))</f>
        <v>0</v>
      </c>
      <c r="O154" s="3">
        <f>((((M154-N154)/1000)*56275)*0.000001)*J6</f>
        <v>0</v>
      </c>
      <c r="P154" s="2" t="s">
        <v>64</v>
      </c>
      <c r="Q154" s="2"/>
      <c r="R154" s="2"/>
      <c r="S154" s="2"/>
      <c r="U154" s="2">
        <v>4</v>
      </c>
      <c r="V154" s="3" t="s">
        <v>86</v>
      </c>
      <c r="W154" s="3"/>
      <c r="X154" s="3">
        <f>IF(AC118=1,0.09031, IF(AC118=2,0.297, IF(AC118=3,0.155, IF(AC118=4, 0.13, IF(AC118=5, 0.0239, IF(AC118=6, 0.0239, IF(AC118=7, 0.0012, IF(AC118=8, 0.0012,""))))))))</f>
        <v>9.0310000000000001E-2</v>
      </c>
      <c r="Y154" s="3" t="str">
        <f>IF((K$8=V154),U154,"")</f>
        <v/>
      </c>
      <c r="Z154" s="3" t="str">
        <f>IFERROR(SMALL(Y$151:Y$155,U154),"")</f>
        <v/>
      </c>
      <c r="AA154" s="3">
        <v>210</v>
      </c>
      <c r="AB154" s="3" t="b">
        <f>IF(Z$151=U154,K$10*(AA154*X154))</f>
        <v>0</v>
      </c>
      <c r="AC154" s="3" t="b">
        <f>IF(Z$151=U154,K$11*(AA154*X154))</f>
        <v>0</v>
      </c>
      <c r="AD154" s="3">
        <f>((((AB154-AC154)/1000)*56275)*0.000001)*K6</f>
        <v>0</v>
      </c>
      <c r="AE154" s="2" t="s">
        <v>64</v>
      </c>
      <c r="AF154" s="2"/>
      <c r="AG154" s="2"/>
      <c r="AH154" s="2"/>
      <c r="AI154" s="2">
        <v>4</v>
      </c>
      <c r="AJ154" s="3" t="s">
        <v>86</v>
      </c>
      <c r="AK154" s="3"/>
      <c r="AL154" s="3" t="str">
        <f>IF(AQ118=1,0.09031, IF(AQ118=2,0.297, IF(AQ118=3,0.155, IF(AQ118=4, 0.13, IF(AQ118=5, 0.0239, IF(AQ118=6, 0.0239, IF(AQ118=7, 0.0012, IF(AQ118=8, 0.0012,""))))))))</f>
        <v/>
      </c>
      <c r="AM154" s="3" t="str">
        <f>IF((L$8=AJ154),AI154,"")</f>
        <v/>
      </c>
      <c r="AN154" s="3" t="str">
        <f>IFERROR(SMALL(AM$151:AM$155,AI154),"")</f>
        <v/>
      </c>
      <c r="AO154" s="3">
        <v>210</v>
      </c>
      <c r="AP154" s="3" t="b">
        <f>IF(AN$151=AI154,L$10*(AO154*AL154))</f>
        <v>0</v>
      </c>
      <c r="AQ154" s="3" t="b">
        <f>IF(AN$151=AI154,L$11*(AO154*AL154))</f>
        <v>0</v>
      </c>
      <c r="AR154" s="3">
        <f>((((AP154-AQ154)/1000)*56275)*0.000001)*L6</f>
        <v>0</v>
      </c>
      <c r="AS154" s="2" t="s">
        <v>64</v>
      </c>
      <c r="AT154" s="2"/>
      <c r="AU154" s="2"/>
      <c r="AW154" s="2">
        <v>4</v>
      </c>
      <c r="AX154" s="3" t="s">
        <v>86</v>
      </c>
      <c r="AY154" s="3"/>
      <c r="AZ154" s="3" t="str">
        <f>IF(BE118=1,0.09031, IF(BE118=2,0.297, IF(BE118=3,0.155, IF(BE118=4, 0.13, IF(BE118=5, 0.0239, IF(BE118=6, 0.0239, IF(BE118=7, 0.0012, IF(BE118=8, 0.0012,""))))))))</f>
        <v/>
      </c>
      <c r="BA154" s="3" t="str">
        <f>IF((M$8=AX154),AW154,"")</f>
        <v/>
      </c>
      <c r="BB154" s="3" t="str">
        <f>IFERROR(SMALL(BA$151:BA$155,AW154),"")</f>
        <v/>
      </c>
      <c r="BC154" s="3">
        <v>210</v>
      </c>
      <c r="BD154" s="3" t="b">
        <f>IF(BB$151=AW154,M$10*(BC154*AZ154))</f>
        <v>0</v>
      </c>
      <c r="BE154" s="3" t="b">
        <f>IF(BB$151=AW154,M$11*(BC154*AZ154))</f>
        <v>0</v>
      </c>
      <c r="BF154" s="3">
        <f>((((BD154-BE154)/1000)*56275)*0.000001)*M6</f>
        <v>0</v>
      </c>
      <c r="BG154" s="2" t="s">
        <v>64</v>
      </c>
      <c r="BH154" s="2"/>
      <c r="BK154" s="2">
        <v>4</v>
      </c>
      <c r="BL154" s="3" t="s">
        <v>86</v>
      </c>
      <c r="BM154" s="3"/>
      <c r="BN154" s="3" t="str">
        <f>IF(BS118=1,0.09031, IF(BS118=2,0.297, IF(BS118=3,0.155, IF(BS118=4, 0.13, IF(BS118=5, 0.0239, IF(BS118=6, 0.0239, IF(BS118=7, 0.0012, IF(BS118=8, 0.0012,""))))))))</f>
        <v/>
      </c>
      <c r="BO154" s="3" t="str">
        <f>IF((N$8=BL154),BK154,"")</f>
        <v/>
      </c>
      <c r="BP154" s="3" t="str">
        <f>IFERROR(SMALL(BO$151:BO$155,BK154),"")</f>
        <v/>
      </c>
      <c r="BQ154" s="3">
        <v>210</v>
      </c>
      <c r="BR154" s="3" t="b">
        <f>IF(BP$151=BK154,N$10*(BQ154*BN154))</f>
        <v>0</v>
      </c>
      <c r="BS154" s="3" t="b">
        <f>IF(BP$151=BK154,N$11*(BQ154*BN154))</f>
        <v>0</v>
      </c>
      <c r="BT154" s="3">
        <f>((((BR154-BS154)/1000)*56275)*0.000001)*N6</f>
        <v>0</v>
      </c>
      <c r="BU154" s="2" t="s">
        <v>64</v>
      </c>
      <c r="BV154" s="2">
        <v>4</v>
      </c>
      <c r="BW154" s="3" t="s">
        <v>86</v>
      </c>
      <c r="BX154" s="3"/>
      <c r="BY154" s="3" t="str">
        <f>IF(CD118=1,0.09031, IF(CD118=2,0.297, IF(CD118=3,0.155, IF(CD118=4, 0.13, IF(CD118=5, 0.0239, IF(CD118=6, 0.0239, IF(CD118=7, 0.0012, IF(CD118=8, 0.0012,""))))))))</f>
        <v/>
      </c>
      <c r="BZ154" s="3" t="str">
        <f>IF((O$8=BW154),BV154,"")</f>
        <v/>
      </c>
      <c r="CA154" s="3" t="str">
        <f>IFERROR(SMALL(BZ$151:BZ$155,BV154),"")</f>
        <v/>
      </c>
      <c r="CB154" s="3">
        <v>210</v>
      </c>
      <c r="CC154" s="3" t="b">
        <f>IF(CA$151=BV154,O$10*(CB154*BY154))</f>
        <v>0</v>
      </c>
      <c r="CD154" s="3" t="b">
        <f>IF(CA$151=BV154,O$11*(CB154*BY154))</f>
        <v>0</v>
      </c>
      <c r="CE154" s="3">
        <f>((((CC154-CD154)/1000)*56275)*0.000001)*O6</f>
        <v>0</v>
      </c>
      <c r="CF154" s="2" t="s">
        <v>64</v>
      </c>
      <c r="CG154" s="2"/>
    </row>
    <row r="155" spans="6:85">
      <c r="F155" s="2">
        <v>5</v>
      </c>
      <c r="G155" s="3" t="s">
        <v>87</v>
      </c>
      <c r="H155" s="3"/>
      <c r="I155" s="3" t="str">
        <f>IF(N118=1,0.10845, IF(N118=2, 0.358, IF(N118=3, 0.194, IF(N118=4, 0.151, IF(N118=5, 0.0268, IF(N118=6, 0.0268, IF(N118=7, 0.0013, IF(N118=8, 0.0013,""))))))))</f>
        <v/>
      </c>
      <c r="J155" s="3" t="str">
        <f>IF((J$8=G155),F155,"")</f>
        <v/>
      </c>
      <c r="K155" s="3" t="str">
        <f>IFERROR(SMALL(J$151:J$155,F155),"")</f>
        <v/>
      </c>
      <c r="L155" s="3">
        <v>251</v>
      </c>
      <c r="M155" s="3" t="b">
        <f>IF(K$151=F155,J$10*(L155*I155))</f>
        <v>0</v>
      </c>
      <c r="N155" s="3" t="b">
        <f>IF(K$151=F155,J$11*(L155*I155))</f>
        <v>0</v>
      </c>
      <c r="O155" s="3">
        <f>((((M155-N155)/1000)*56275)*0.000001)*J6</f>
        <v>0</v>
      </c>
      <c r="P155" s="2" t="s">
        <v>64</v>
      </c>
      <c r="Q155" s="2"/>
      <c r="R155" s="2"/>
      <c r="S155" s="2"/>
      <c r="U155" s="2">
        <v>5</v>
      </c>
      <c r="V155" s="3" t="s">
        <v>87</v>
      </c>
      <c r="W155" s="3"/>
      <c r="X155" s="3">
        <f>IF(AC118=1,0.10845, IF(AC118=2, 0.358, IF(AC118=3, 0.194, IF(AC118=4, 0.151, IF(AC118=5, 0.0268, IF(AC118=6, 0.0268, IF(AC118=7, 0.0013, IF(AC118=8, 0.0013,""))))))))</f>
        <v>0.10845</v>
      </c>
      <c r="Y155" s="3" t="str">
        <f>IF((K$8=V155),U155,"")</f>
        <v/>
      </c>
      <c r="Z155" s="3" t="str">
        <f>IFERROR(SMALL(Y$151:Y$155,U155),"")</f>
        <v/>
      </c>
      <c r="AA155" s="3">
        <v>251</v>
      </c>
      <c r="AB155" s="3" t="b">
        <f>IF(Z$151=U155,K$10*(AA155*X155))</f>
        <v>0</v>
      </c>
      <c r="AC155" s="3" t="b">
        <f>IF(Z$151=U155,K$11*(AA155*X155))</f>
        <v>0</v>
      </c>
      <c r="AD155" s="3">
        <f>((((AB155-AC155)/1000)*56275)*0.000001)*K6</f>
        <v>0</v>
      </c>
      <c r="AE155" s="2" t="s">
        <v>64</v>
      </c>
      <c r="AF155" s="2"/>
      <c r="AG155" s="2"/>
      <c r="AH155" s="2"/>
      <c r="AI155" s="2">
        <v>5</v>
      </c>
      <c r="AJ155" s="3" t="s">
        <v>87</v>
      </c>
      <c r="AK155" s="3"/>
      <c r="AL155" s="3" t="str">
        <f>IF(AQ118=1,0.10845, IF(AQ118=2, 0.358, IF(AQ118=3, 0.194, IF(AQ118=4, 0.151, IF(AQ118=5, 0.0268, IF(AQ118=6, 0.0268, IF(AQ118=7, 0.0013, IF(AQ118=8, 0.0013,""))))))))</f>
        <v/>
      </c>
      <c r="AM155" s="3" t="str">
        <f>IF((L$8=AJ155),AI155,"")</f>
        <v/>
      </c>
      <c r="AN155" s="3" t="str">
        <f>IFERROR(SMALL(AM$151:AM$155,AI155),"")</f>
        <v/>
      </c>
      <c r="AO155" s="3">
        <v>251</v>
      </c>
      <c r="AP155" s="3" t="b">
        <f>IF(AN$151=AI155,L$10*(AO155*AL155))</f>
        <v>0</v>
      </c>
      <c r="AQ155" s="3" t="b">
        <f>IF(AN$151=AI155,L$11*(AO155*AL155))</f>
        <v>0</v>
      </c>
      <c r="AR155" s="3">
        <f>((((AP155-AQ155)/1000)*56275)*0.000001)*L6</f>
        <v>0</v>
      </c>
      <c r="AS155" s="2" t="s">
        <v>64</v>
      </c>
      <c r="AT155" s="2"/>
      <c r="AU155" s="2"/>
      <c r="AW155" s="2">
        <v>5</v>
      </c>
      <c r="AX155" s="3" t="s">
        <v>87</v>
      </c>
      <c r="AY155" s="3"/>
      <c r="AZ155" s="3" t="str">
        <f>IF(BE118=1,0.10845, IF(BE118=2, 0.358, IF(BE118=3, 0.194, IF(BE118=4, 0.151, IF(BE118=5, 0.0268, IF(BE118=6, 0.0268, IF(BE118=7, 0.0013, IF(BE118=8, 0.0013,""))))))))</f>
        <v/>
      </c>
      <c r="BA155" s="3" t="str">
        <f>IF((M$8=AX155),AW155,"")</f>
        <v/>
      </c>
      <c r="BB155" s="3" t="str">
        <f>IFERROR(SMALL(BA$151:BA$155,AW155),"")</f>
        <v/>
      </c>
      <c r="BC155" s="3">
        <v>251</v>
      </c>
      <c r="BD155" s="3" t="b">
        <f>IF(BB$151=AW155,M$10*(BC155*AZ155))</f>
        <v>0</v>
      </c>
      <c r="BE155" s="3" t="b">
        <f>IF(BB$151=AW155,M$11*(BC155*AZ155))</f>
        <v>0</v>
      </c>
      <c r="BF155" s="3">
        <f>((((BD155-BE155)/1000)*56275)*0.000001)*M6</f>
        <v>0</v>
      </c>
      <c r="BG155" s="2" t="s">
        <v>64</v>
      </c>
      <c r="BH155" s="2"/>
      <c r="BK155" s="2">
        <v>5</v>
      </c>
      <c r="BL155" s="3" t="s">
        <v>87</v>
      </c>
      <c r="BM155" s="3"/>
      <c r="BN155" s="3" t="str">
        <f>IF(BS118=1,0.10845, IF(BS118=2, 0.358, IF(BS118=3, 0.194, IF(BS118=4, 0.151, IF(BS118=5, 0.0268, IF(BS118=6, 0.0268, IF(BS118=7, 0.0013, IF(BS118=8, 0.0013,""))))))))</f>
        <v/>
      </c>
      <c r="BO155" s="3" t="str">
        <f>IF((N$8=BL155),BK155,"")</f>
        <v/>
      </c>
      <c r="BP155" s="3" t="str">
        <f>IFERROR(SMALL(BO$151:BO$155,BK155),"")</f>
        <v/>
      </c>
      <c r="BQ155" s="3">
        <v>251</v>
      </c>
      <c r="BR155" s="3" t="b">
        <f>IF(BP$151=BK155,N$10*(BQ155*BN155))</f>
        <v>0</v>
      </c>
      <c r="BS155" s="3" t="b">
        <f>IF(BP$151=BK155,N$11*(BQ155*BN155))</f>
        <v>0</v>
      </c>
      <c r="BT155" s="3">
        <f>((((BR155-BS155)/1000)*56275)*0.000001)*N6</f>
        <v>0</v>
      </c>
      <c r="BU155" s="2" t="s">
        <v>64</v>
      </c>
      <c r="BV155" s="2">
        <v>5</v>
      </c>
      <c r="BW155" s="3" t="s">
        <v>87</v>
      </c>
      <c r="BX155" s="3"/>
      <c r="BY155" s="3" t="str">
        <f>IF(CD118=1,0.10845, IF(CD118=2, 0.358, IF(CD118=3, 0.194, IF(CD118=4, 0.151, IF(CD118=5, 0.0268, IF(CD118=6, 0.0268, IF(CD118=7, 0.0013, IF(CD118=8, 0.0013,""))))))))</f>
        <v/>
      </c>
      <c r="BZ155" s="3" t="str">
        <f>IF((O$8=BW155),BV155,"")</f>
        <v/>
      </c>
      <c r="CA155" s="3" t="str">
        <f>IFERROR(SMALL(BZ$151:BZ$155,BV155),"")</f>
        <v/>
      </c>
      <c r="CB155" s="3">
        <v>251</v>
      </c>
      <c r="CC155" s="3" t="b">
        <f>IF(CA$151=BV155,O$10*(CB155*BY155))</f>
        <v>0</v>
      </c>
      <c r="CD155" s="3" t="b">
        <f>IF(CA$151=BV155,O$11*(CB155*BY155))</f>
        <v>0</v>
      </c>
      <c r="CE155" s="3">
        <f>((((CC155-CD155)/1000)*56275)*0.000001)*O6</f>
        <v>0</v>
      </c>
      <c r="CF155" s="2" t="s">
        <v>64</v>
      </c>
      <c r="CG155" s="2"/>
    </row>
    <row r="156" spans="6:85">
      <c r="F156" s="2"/>
      <c r="G156" s="2"/>
      <c r="H156" s="2"/>
      <c r="I156" s="2"/>
      <c r="J156" s="2"/>
      <c r="K156" s="2"/>
      <c r="L156" s="2"/>
      <c r="M156" s="2"/>
      <c r="N156" s="2"/>
      <c r="O156" s="2"/>
      <c r="P156" s="2"/>
      <c r="Q156" s="2"/>
      <c r="R156" s="2"/>
      <c r="S156" s="2"/>
      <c r="U156" s="2"/>
      <c r="V156" s="2"/>
      <c r="W156" s="2"/>
      <c r="X156" s="2"/>
      <c r="Y156" s="2"/>
      <c r="Z156" s="2"/>
      <c r="AA156" s="2"/>
      <c r="AB156" s="2"/>
      <c r="AC156" s="2"/>
      <c r="AD156" s="2"/>
      <c r="AE156" s="2"/>
      <c r="AF156" s="2"/>
      <c r="AG156" s="2"/>
      <c r="AH156" s="2"/>
      <c r="AI156" s="2"/>
      <c r="AJ156" s="2"/>
      <c r="AK156" s="2"/>
      <c r="AL156" s="2"/>
      <c r="AM156" s="2"/>
      <c r="AN156" s="2"/>
      <c r="AO156" s="2"/>
      <c r="AP156" s="2"/>
      <c r="AQ156" s="2"/>
      <c r="AR156" s="2"/>
      <c r="AS156" s="2"/>
      <c r="AT156" s="2"/>
      <c r="AU156" s="2"/>
      <c r="AW156" s="2"/>
      <c r="AX156" s="2"/>
      <c r="AY156" s="2"/>
      <c r="AZ156" s="2"/>
      <c r="BA156" s="2"/>
      <c r="BB156" s="2"/>
      <c r="BC156" s="2"/>
      <c r="BD156" s="2"/>
      <c r="BE156" s="2"/>
      <c r="BF156" s="2"/>
      <c r="BG156" s="2"/>
      <c r="BH156" s="2"/>
      <c r="BK156" s="2"/>
      <c r="BL156" s="2"/>
      <c r="BM156" s="2"/>
      <c r="BN156" s="2"/>
      <c r="BO156" s="2"/>
      <c r="BP156" s="2"/>
      <c r="BQ156" s="2"/>
      <c r="BR156" s="2"/>
      <c r="BS156" s="2"/>
      <c r="BT156" s="2"/>
      <c r="BU156" s="2"/>
      <c r="BV156" s="2"/>
      <c r="BW156" s="2"/>
      <c r="BX156" s="2"/>
      <c r="BY156" s="2"/>
      <c r="BZ156" s="2"/>
      <c r="CA156" s="2"/>
      <c r="CB156" s="2"/>
      <c r="CC156" s="2"/>
      <c r="CD156" s="2"/>
      <c r="CE156" s="2"/>
      <c r="CF156" s="2"/>
      <c r="CG156" s="2"/>
    </row>
    <row r="157" spans="6:85">
      <c r="F157" s="2"/>
      <c r="G157" s="2"/>
      <c r="H157" s="2"/>
      <c r="I157" s="2"/>
      <c r="J157" s="2"/>
      <c r="K157" s="2"/>
      <c r="L157" s="2"/>
      <c r="M157" s="2"/>
      <c r="N157" s="2"/>
      <c r="O157" s="2"/>
      <c r="P157" s="2"/>
      <c r="Q157" s="2"/>
      <c r="R157" s="2"/>
      <c r="S157" s="2"/>
      <c r="U157" s="2"/>
      <c r="V157" s="2"/>
      <c r="W157" s="2"/>
      <c r="X157" s="2"/>
      <c r="Y157" s="2"/>
      <c r="Z157" s="2"/>
      <c r="AA157" s="2"/>
      <c r="AB157" s="2"/>
      <c r="AC157" s="2"/>
      <c r="AD157" s="2"/>
      <c r="AE157" s="2"/>
      <c r="AF157" s="2"/>
      <c r="AG157" s="2"/>
      <c r="AH157" s="2"/>
      <c r="AI157" s="2"/>
      <c r="AJ157" s="2"/>
      <c r="AK157" s="2"/>
      <c r="AL157" s="2"/>
      <c r="AM157" s="2"/>
      <c r="AN157" s="2"/>
      <c r="AO157" s="2"/>
      <c r="AP157" s="2"/>
      <c r="AQ157" s="2"/>
      <c r="AR157" s="2"/>
      <c r="AS157" s="2"/>
      <c r="AT157" s="2"/>
      <c r="AU157" s="2"/>
      <c r="AW157" s="2"/>
      <c r="AX157" s="2"/>
      <c r="AY157" s="2"/>
      <c r="AZ157" s="2"/>
      <c r="BA157" s="2"/>
      <c r="BB157" s="2"/>
      <c r="BC157" s="2"/>
      <c r="BD157" s="2"/>
      <c r="BE157" s="2"/>
      <c r="BF157" s="2"/>
      <c r="BG157" s="2"/>
      <c r="BH157" s="2"/>
      <c r="BK157" s="2"/>
      <c r="BL157" s="2"/>
      <c r="BM157" s="2"/>
      <c r="BN157" s="2"/>
      <c r="BO157" s="2"/>
      <c r="BP157" s="2"/>
      <c r="BQ157" s="2"/>
      <c r="BR157" s="2"/>
      <c r="BS157" s="2"/>
      <c r="BT157" s="2"/>
      <c r="BU157" s="2"/>
      <c r="BV157" s="2"/>
      <c r="BW157" s="2"/>
      <c r="BX157" s="2"/>
      <c r="BY157" s="2"/>
      <c r="BZ157" s="2"/>
      <c r="CA157" s="2"/>
      <c r="CB157" s="2"/>
      <c r="CC157" s="2"/>
      <c r="CD157" s="2"/>
      <c r="CE157" s="2"/>
      <c r="CF157" s="2"/>
      <c r="CG157" s="2"/>
    </row>
    <row r="158" spans="6:85">
      <c r="F158" s="2"/>
      <c r="G158" s="16" t="s">
        <v>88</v>
      </c>
      <c r="H158" s="2"/>
      <c r="I158" s="2"/>
      <c r="J158" s="2"/>
      <c r="K158" s="2"/>
      <c r="L158" s="2"/>
      <c r="M158" s="2"/>
      <c r="N158" s="2"/>
      <c r="O158" s="2"/>
      <c r="P158" s="2"/>
      <c r="Q158" s="2"/>
      <c r="R158" s="2"/>
      <c r="S158" s="2"/>
      <c r="U158" s="2"/>
      <c r="V158" s="2" t="s">
        <v>88</v>
      </c>
      <c r="W158" s="2"/>
      <c r="X158" s="2"/>
      <c r="Y158" s="2"/>
      <c r="Z158" s="2"/>
      <c r="AA158" s="2"/>
      <c r="AB158" s="2"/>
      <c r="AC158" s="2"/>
      <c r="AD158" s="2"/>
      <c r="AE158" s="2"/>
      <c r="AF158" s="2"/>
      <c r="AG158" s="2"/>
      <c r="AH158" s="2"/>
      <c r="AI158" s="2"/>
      <c r="AJ158" s="2" t="s">
        <v>88</v>
      </c>
      <c r="AK158" s="2"/>
      <c r="AL158" s="2"/>
      <c r="AM158" s="2"/>
      <c r="AN158" s="2"/>
      <c r="AO158" s="2"/>
      <c r="AP158" s="2"/>
      <c r="AQ158" s="2"/>
      <c r="AR158" s="2"/>
      <c r="AS158" s="2"/>
      <c r="AT158" s="2"/>
      <c r="AU158" s="2"/>
      <c r="AW158" s="2"/>
      <c r="AX158" s="2" t="s">
        <v>88</v>
      </c>
      <c r="AY158" s="2"/>
      <c r="AZ158" s="2"/>
      <c r="BA158" s="2"/>
      <c r="BB158" s="2"/>
      <c r="BC158" s="2"/>
      <c r="BD158" s="2"/>
      <c r="BE158" s="2"/>
      <c r="BF158" s="2"/>
      <c r="BG158" s="2"/>
      <c r="BH158" s="2"/>
      <c r="BK158" s="2"/>
      <c r="BL158" s="2" t="s">
        <v>88</v>
      </c>
      <c r="BM158" s="2"/>
      <c r="BN158" s="2"/>
      <c r="BO158" s="2"/>
      <c r="BP158" s="2"/>
      <c r="BQ158" s="2"/>
      <c r="BR158" s="2"/>
      <c r="BS158" s="2"/>
      <c r="BT158" s="2"/>
      <c r="BU158" s="2"/>
      <c r="BV158" s="2"/>
      <c r="BW158" s="2" t="s">
        <v>88</v>
      </c>
      <c r="BX158" s="2"/>
      <c r="BY158" s="2"/>
      <c r="BZ158" s="2"/>
      <c r="CA158" s="2"/>
      <c r="CB158" s="2"/>
      <c r="CC158" s="2"/>
      <c r="CD158" s="2"/>
      <c r="CE158" s="2"/>
      <c r="CF158" s="2"/>
      <c r="CG158" s="2"/>
    </row>
    <row r="159" spans="6:85">
      <c r="F159" s="2"/>
      <c r="G159" s="2"/>
      <c r="H159" s="2" t="s">
        <v>40</v>
      </c>
      <c r="I159" s="2" t="s">
        <v>40</v>
      </c>
      <c r="J159" s="2"/>
      <c r="K159" s="2"/>
      <c r="L159" s="2"/>
      <c r="M159" s="2"/>
      <c r="N159" s="2"/>
      <c r="O159" s="2"/>
      <c r="P159" s="2"/>
      <c r="Q159" s="2"/>
      <c r="R159" s="2"/>
      <c r="S159" s="2"/>
      <c r="U159" s="2"/>
      <c r="V159" s="2"/>
      <c r="W159" s="2" t="s">
        <v>40</v>
      </c>
      <c r="X159" s="2" t="s">
        <v>40</v>
      </c>
      <c r="Y159" s="2"/>
      <c r="Z159" s="2"/>
      <c r="AA159" s="2"/>
      <c r="AB159" s="2"/>
      <c r="AC159" s="2"/>
      <c r="AD159" s="2"/>
      <c r="AE159" s="2"/>
      <c r="AF159" s="2"/>
      <c r="AG159" s="2"/>
      <c r="AH159" s="2"/>
      <c r="AI159" s="2"/>
      <c r="AJ159" s="2"/>
      <c r="AK159" s="2" t="s">
        <v>40</v>
      </c>
      <c r="AL159" s="2" t="s">
        <v>40</v>
      </c>
      <c r="AM159" s="2"/>
      <c r="AN159" s="2"/>
      <c r="AO159" s="2"/>
      <c r="AP159" s="2"/>
      <c r="AQ159" s="2"/>
      <c r="AR159" s="2"/>
      <c r="AS159" s="2"/>
      <c r="AT159" s="2"/>
      <c r="AU159" s="2"/>
      <c r="AW159" s="2"/>
      <c r="AX159" s="2"/>
      <c r="AY159" s="2" t="s">
        <v>40</v>
      </c>
      <c r="AZ159" s="2" t="s">
        <v>40</v>
      </c>
      <c r="BA159" s="2"/>
      <c r="BB159" s="2"/>
      <c r="BC159" s="2"/>
      <c r="BD159" s="2"/>
      <c r="BE159" s="2"/>
      <c r="BF159" s="2"/>
      <c r="BG159" s="2"/>
      <c r="BH159" s="2"/>
      <c r="BK159" s="2"/>
      <c r="BL159" s="2"/>
      <c r="BM159" s="2" t="s">
        <v>40</v>
      </c>
      <c r="BN159" s="2" t="s">
        <v>40</v>
      </c>
      <c r="BO159" s="2"/>
      <c r="BP159" s="2"/>
      <c r="BQ159" s="2"/>
      <c r="BR159" s="2"/>
      <c r="BS159" s="2"/>
      <c r="BT159" s="2"/>
      <c r="BU159" s="2"/>
      <c r="BV159" s="2"/>
      <c r="BW159" s="2"/>
      <c r="BX159" s="2" t="s">
        <v>40</v>
      </c>
      <c r="BY159" s="2" t="s">
        <v>40</v>
      </c>
      <c r="BZ159" s="2"/>
      <c r="CA159" s="2"/>
      <c r="CB159" s="2"/>
      <c r="CC159" s="2"/>
      <c r="CD159" s="2"/>
      <c r="CE159" s="2"/>
      <c r="CF159" s="2"/>
      <c r="CG159" s="2"/>
    </row>
    <row r="160" spans="6:85">
      <c r="F160" s="2">
        <v>1</v>
      </c>
      <c r="G160" s="2" t="s">
        <v>22</v>
      </c>
      <c r="H160" s="2" t="str">
        <f>IF((J$9=G160),F160,"")</f>
        <v/>
      </c>
      <c r="I160" s="2" t="str">
        <f>IFERROR(SMALL(H$160:H$168,F160),"")</f>
        <v/>
      </c>
      <c r="J160" s="2"/>
      <c r="K160" s="2"/>
      <c r="L160" s="2"/>
      <c r="M160" s="2"/>
      <c r="N160" s="2"/>
      <c r="O160" s="2"/>
      <c r="P160" s="2"/>
      <c r="Q160" s="2"/>
      <c r="R160" s="2"/>
      <c r="S160" s="2"/>
      <c r="U160" s="2">
        <v>1</v>
      </c>
      <c r="V160" s="2" t="s">
        <v>22</v>
      </c>
      <c r="W160" s="2">
        <f>IF((K$9=V160),U160,"")</f>
        <v>1</v>
      </c>
      <c r="X160" s="2">
        <f>IFERROR(SMALL(W$160:W$168,U160),"")</f>
        <v>1</v>
      </c>
      <c r="Y160" s="2"/>
      <c r="Z160" s="2"/>
      <c r="AA160" s="2"/>
      <c r="AB160" s="2"/>
      <c r="AC160" s="2"/>
      <c r="AD160" s="2"/>
      <c r="AE160" s="2"/>
      <c r="AF160" s="2"/>
      <c r="AG160" s="2"/>
      <c r="AH160" s="2"/>
      <c r="AI160" s="2">
        <v>1</v>
      </c>
      <c r="AJ160" s="2" t="s">
        <v>22</v>
      </c>
      <c r="AK160" s="2" t="str">
        <f>IF((L$9=AJ160),AI160,"")</f>
        <v/>
      </c>
      <c r="AL160" s="2" t="str">
        <f>IFERROR(SMALL(AK$160:AK$167,AI160),"")</f>
        <v/>
      </c>
      <c r="AM160" s="2"/>
      <c r="AN160" s="2"/>
      <c r="AO160" s="2"/>
      <c r="AP160" s="2"/>
      <c r="AQ160" s="2"/>
      <c r="AR160" s="2"/>
      <c r="AS160" s="2"/>
      <c r="AT160" s="2"/>
      <c r="AU160" s="2"/>
      <c r="AW160" s="2">
        <v>1</v>
      </c>
      <c r="AX160" s="2" t="s">
        <v>22</v>
      </c>
      <c r="AY160" s="2" t="str">
        <f>IF((M$9=AX160),AW160,"")</f>
        <v/>
      </c>
      <c r="AZ160" s="2" t="str">
        <f>IFERROR(SMALL(AY$160:AY$167,AW160),"")</f>
        <v/>
      </c>
      <c r="BA160" s="2"/>
      <c r="BB160" s="2"/>
      <c r="BC160" s="2"/>
      <c r="BD160" s="2"/>
      <c r="BE160" s="2"/>
      <c r="BF160" s="2"/>
      <c r="BG160" s="2"/>
      <c r="BH160" s="2"/>
      <c r="BK160" s="2">
        <v>1</v>
      </c>
      <c r="BL160" s="2" t="s">
        <v>22</v>
      </c>
      <c r="BM160" s="2" t="str">
        <f>IF((N$9=BL160),BK160,"")</f>
        <v/>
      </c>
      <c r="BN160" s="2" t="str">
        <f>IFERROR(SMALL(BM$160:BM$167,BK160),"")</f>
        <v/>
      </c>
      <c r="BO160" s="2"/>
      <c r="BP160" s="2"/>
      <c r="BQ160" s="2"/>
      <c r="BR160" s="2"/>
      <c r="BS160" s="2"/>
      <c r="BT160" s="2"/>
      <c r="BU160" s="2"/>
      <c r="BV160" s="2">
        <v>1</v>
      </c>
      <c r="BW160" s="2" t="s">
        <v>22</v>
      </c>
      <c r="BX160" s="2" t="str">
        <f>IF((O$9=BW160),BV160,"")</f>
        <v/>
      </c>
      <c r="BY160" s="2" t="str">
        <f>IFERROR(SMALL(BX$160:BX$167,BV160),"")</f>
        <v/>
      </c>
      <c r="BZ160" s="2"/>
      <c r="CA160" s="2"/>
      <c r="CB160" s="2"/>
      <c r="CC160" s="2"/>
      <c r="CD160" s="2"/>
      <c r="CE160" s="2"/>
      <c r="CF160" s="2"/>
      <c r="CG160" s="2"/>
    </row>
    <row r="161" spans="6:85">
      <c r="F161" s="2">
        <v>2</v>
      </c>
      <c r="G161" s="2" t="s">
        <v>76</v>
      </c>
      <c r="H161" s="2" t="str">
        <f t="shared" ref="H161:H168" si="33">IF((J$9=G161),F161,"")</f>
        <v/>
      </c>
      <c r="I161" s="2" t="str">
        <f t="shared" ref="I161:I168" si="34">IFERROR(SMALL(G$160:G$167,F161),"")</f>
        <v/>
      </c>
      <c r="J161" s="2"/>
      <c r="K161" s="2"/>
      <c r="L161" s="2"/>
      <c r="M161" s="2"/>
      <c r="N161" s="2"/>
      <c r="O161" s="2"/>
      <c r="P161" s="2"/>
      <c r="Q161" s="2"/>
      <c r="R161" s="2"/>
      <c r="S161" s="2"/>
      <c r="U161" s="2">
        <v>2</v>
      </c>
      <c r="V161" s="2" t="s">
        <v>76</v>
      </c>
      <c r="W161" s="2" t="str">
        <f t="shared" ref="W161:W168" si="35">IF((K$9=V161),U161,"")</f>
        <v/>
      </c>
      <c r="X161" s="2" t="str">
        <f t="shared" ref="X161:X168" si="36">IFERROR(SMALL(V$160:V$167,U161),"")</f>
        <v/>
      </c>
      <c r="Y161" s="2"/>
      <c r="Z161" s="2"/>
      <c r="AA161" s="2"/>
      <c r="AB161" s="2"/>
      <c r="AC161" s="2"/>
      <c r="AD161" s="2"/>
      <c r="AE161" s="2"/>
      <c r="AF161" s="2"/>
      <c r="AG161" s="2"/>
      <c r="AH161" s="2"/>
      <c r="AI161" s="2">
        <v>2</v>
      </c>
      <c r="AJ161" s="2" t="s">
        <v>76</v>
      </c>
      <c r="AK161" s="2" t="str">
        <f t="shared" ref="AK161:AK167" si="37">IF((L$9=AJ161),AI161,"")</f>
        <v/>
      </c>
      <c r="AL161" s="2" t="str">
        <f t="shared" ref="AL161:AL167" si="38">IFERROR(SMALL(AJ$160:AJ$167,AI161),"")</f>
        <v/>
      </c>
      <c r="AM161" s="2"/>
      <c r="AN161" s="2"/>
      <c r="AO161" s="2"/>
      <c r="AP161" s="2"/>
      <c r="AQ161" s="2"/>
      <c r="AR161" s="2"/>
      <c r="AS161" s="2"/>
      <c r="AT161" s="2"/>
      <c r="AU161" s="2"/>
      <c r="AW161" s="2">
        <v>2</v>
      </c>
      <c r="AX161" s="2" t="s">
        <v>76</v>
      </c>
      <c r="AY161" s="2" t="str">
        <f t="shared" ref="AY161:AY167" si="39">IF((M$9=AX161),AW161,"")</f>
        <v/>
      </c>
      <c r="AZ161" s="2" t="str">
        <f t="shared" ref="AZ161:AZ167" si="40">IFERROR(SMALL(AX$160:AX$167,AW161),"")</f>
        <v/>
      </c>
      <c r="BA161" s="2"/>
      <c r="BB161" s="2"/>
      <c r="BC161" s="2"/>
      <c r="BD161" s="2"/>
      <c r="BE161" s="2"/>
      <c r="BF161" s="2"/>
      <c r="BG161" s="2"/>
      <c r="BH161" s="2"/>
      <c r="BK161" s="2">
        <v>2</v>
      </c>
      <c r="BL161" s="2" t="s">
        <v>76</v>
      </c>
      <c r="BM161" s="2" t="str">
        <f t="shared" ref="BM161:BM167" si="41">IF((N$9=BL161),BK161,"")</f>
        <v/>
      </c>
      <c r="BN161" s="2" t="str">
        <f t="shared" ref="BN161:BN167" si="42">IFERROR(SMALL(BL$160:BL$167,BK161),"")</f>
        <v/>
      </c>
      <c r="BO161" s="2"/>
      <c r="BP161" s="2"/>
      <c r="BQ161" s="2"/>
      <c r="BR161" s="2"/>
      <c r="BS161" s="2"/>
      <c r="BT161" s="2"/>
      <c r="BU161" s="2"/>
      <c r="BV161" s="2">
        <v>2</v>
      </c>
      <c r="BW161" s="2" t="s">
        <v>76</v>
      </c>
      <c r="BX161" s="2" t="str">
        <f t="shared" ref="BX161:BX167" si="43">IF((O$9=BW161),BV161,"")</f>
        <v/>
      </c>
      <c r="BY161" s="2" t="str">
        <f t="shared" ref="BY161:BY167" si="44">IFERROR(SMALL(BW$160:BW$167,BV161),"")</f>
        <v/>
      </c>
      <c r="BZ161" s="2"/>
      <c r="CA161" s="2"/>
      <c r="CB161" s="2"/>
      <c r="CC161" s="2"/>
      <c r="CD161" s="2"/>
      <c r="CE161" s="2"/>
      <c r="CF161" s="2"/>
      <c r="CG161" s="2"/>
    </row>
    <row r="162" spans="6:85">
      <c r="F162" s="2">
        <v>3</v>
      </c>
      <c r="G162" s="2" t="s">
        <v>77</v>
      </c>
      <c r="H162" s="2" t="str">
        <f t="shared" si="33"/>
        <v/>
      </c>
      <c r="I162" s="2" t="str">
        <f t="shared" si="34"/>
        <v/>
      </c>
      <c r="J162" s="2"/>
      <c r="K162" s="2"/>
      <c r="L162" s="2"/>
      <c r="M162" s="2"/>
      <c r="N162" s="2"/>
      <c r="O162" s="2"/>
      <c r="P162" s="2"/>
      <c r="Q162" s="2"/>
      <c r="R162" s="2"/>
      <c r="S162" s="2"/>
      <c r="U162" s="2">
        <v>3</v>
      </c>
      <c r="V162" s="2" t="s">
        <v>77</v>
      </c>
      <c r="W162" s="2" t="str">
        <f t="shared" si="35"/>
        <v/>
      </c>
      <c r="X162" s="2" t="str">
        <f t="shared" si="36"/>
        <v/>
      </c>
      <c r="Y162" s="2"/>
      <c r="Z162" s="2"/>
      <c r="AA162" s="2"/>
      <c r="AB162" s="2"/>
      <c r="AC162" s="2"/>
      <c r="AD162" s="2"/>
      <c r="AE162" s="2"/>
      <c r="AF162" s="2"/>
      <c r="AG162" s="2"/>
      <c r="AH162" s="2"/>
      <c r="AI162" s="2">
        <v>3</v>
      </c>
      <c r="AJ162" s="2" t="s">
        <v>77</v>
      </c>
      <c r="AK162" s="2" t="str">
        <f t="shared" si="37"/>
        <v/>
      </c>
      <c r="AL162" s="2" t="str">
        <f t="shared" si="38"/>
        <v/>
      </c>
      <c r="AM162" s="2"/>
      <c r="AN162" s="2"/>
      <c r="AO162" s="2"/>
      <c r="AP162" s="2"/>
      <c r="AQ162" s="2"/>
      <c r="AR162" s="2"/>
      <c r="AS162" s="2"/>
      <c r="AT162" s="2"/>
      <c r="AU162" s="2"/>
      <c r="AW162" s="2">
        <v>3</v>
      </c>
      <c r="AX162" s="2" t="s">
        <v>77</v>
      </c>
      <c r="AY162" s="2" t="str">
        <f t="shared" si="39"/>
        <v/>
      </c>
      <c r="AZ162" s="2" t="str">
        <f t="shared" si="40"/>
        <v/>
      </c>
      <c r="BA162" s="2"/>
      <c r="BB162" s="2"/>
      <c r="BC162" s="2"/>
      <c r="BD162" s="2"/>
      <c r="BE162" s="2"/>
      <c r="BF162" s="2"/>
      <c r="BG162" s="2"/>
      <c r="BH162" s="2"/>
      <c r="BK162" s="2">
        <v>3</v>
      </c>
      <c r="BL162" s="2" t="s">
        <v>77</v>
      </c>
      <c r="BM162" s="2" t="str">
        <f t="shared" si="41"/>
        <v/>
      </c>
      <c r="BN162" s="2" t="str">
        <f t="shared" si="42"/>
        <v/>
      </c>
      <c r="BO162" s="2"/>
      <c r="BP162" s="2"/>
      <c r="BQ162" s="2"/>
      <c r="BR162" s="2"/>
      <c r="BS162" s="2"/>
      <c r="BT162" s="2"/>
      <c r="BU162" s="2"/>
      <c r="BV162" s="2">
        <v>3</v>
      </c>
      <c r="BW162" s="2" t="s">
        <v>77</v>
      </c>
      <c r="BX162" s="2" t="str">
        <f t="shared" si="43"/>
        <v/>
      </c>
      <c r="BY162" s="2" t="str">
        <f t="shared" si="44"/>
        <v/>
      </c>
      <c r="BZ162" s="2"/>
      <c r="CA162" s="2"/>
      <c r="CB162" s="2"/>
      <c r="CC162" s="2"/>
      <c r="CD162" s="2"/>
      <c r="CE162" s="2"/>
      <c r="CF162" s="2"/>
      <c r="CG162" s="2"/>
    </row>
    <row r="163" spans="6:85">
      <c r="F163" s="2">
        <v>4</v>
      </c>
      <c r="G163" s="2" t="s">
        <v>78</v>
      </c>
      <c r="H163" s="2" t="str">
        <f t="shared" si="33"/>
        <v/>
      </c>
      <c r="I163" s="2" t="str">
        <f t="shared" si="34"/>
        <v/>
      </c>
      <c r="J163" s="2"/>
      <c r="K163" s="2"/>
      <c r="L163" s="2"/>
      <c r="M163" s="2"/>
      <c r="N163" s="2"/>
      <c r="O163" s="2"/>
      <c r="P163" s="2"/>
      <c r="Q163" s="2"/>
      <c r="R163" s="2"/>
      <c r="S163" s="2"/>
      <c r="U163" s="2">
        <v>4</v>
      </c>
      <c r="V163" s="2" t="s">
        <v>78</v>
      </c>
      <c r="W163" s="2" t="str">
        <f t="shared" si="35"/>
        <v/>
      </c>
      <c r="X163" s="2" t="str">
        <f t="shared" si="36"/>
        <v/>
      </c>
      <c r="Y163" s="2"/>
      <c r="Z163" s="2"/>
      <c r="AA163" s="2"/>
      <c r="AB163" s="2"/>
      <c r="AC163" s="2"/>
      <c r="AD163" s="2"/>
      <c r="AE163" s="2"/>
      <c r="AF163" s="2"/>
      <c r="AG163" s="2"/>
      <c r="AH163" s="2"/>
      <c r="AI163" s="2">
        <v>4</v>
      </c>
      <c r="AJ163" s="2" t="s">
        <v>78</v>
      </c>
      <c r="AK163" s="2" t="str">
        <f t="shared" si="37"/>
        <v/>
      </c>
      <c r="AL163" s="2" t="str">
        <f t="shared" si="38"/>
        <v/>
      </c>
      <c r="AM163" s="2"/>
      <c r="AN163" s="2"/>
      <c r="AO163" s="2"/>
      <c r="AP163" s="2"/>
      <c r="AQ163" s="2"/>
      <c r="AR163" s="2"/>
      <c r="AS163" s="2"/>
      <c r="AT163" s="2"/>
      <c r="AU163" s="2"/>
      <c r="AW163" s="2">
        <v>4</v>
      </c>
      <c r="AX163" s="2" t="s">
        <v>78</v>
      </c>
      <c r="AY163" s="2" t="str">
        <f t="shared" si="39"/>
        <v/>
      </c>
      <c r="AZ163" s="2" t="str">
        <f t="shared" si="40"/>
        <v/>
      </c>
      <c r="BA163" s="2"/>
      <c r="BB163" s="2"/>
      <c r="BC163" s="2"/>
      <c r="BD163" s="2"/>
      <c r="BE163" s="2"/>
      <c r="BF163" s="2"/>
      <c r="BG163" s="2"/>
      <c r="BH163" s="2"/>
      <c r="BK163" s="2">
        <v>4</v>
      </c>
      <c r="BL163" s="2" t="s">
        <v>78</v>
      </c>
      <c r="BM163" s="2" t="str">
        <f t="shared" si="41"/>
        <v/>
      </c>
      <c r="BN163" s="2" t="str">
        <f t="shared" si="42"/>
        <v/>
      </c>
      <c r="BO163" s="2"/>
      <c r="BP163" s="2"/>
      <c r="BQ163" s="2"/>
      <c r="BR163" s="2"/>
      <c r="BS163" s="2"/>
      <c r="BT163" s="2"/>
      <c r="BU163" s="2"/>
      <c r="BV163" s="2">
        <v>4</v>
      </c>
      <c r="BW163" s="2" t="s">
        <v>78</v>
      </c>
      <c r="BX163" s="2" t="str">
        <f t="shared" si="43"/>
        <v/>
      </c>
      <c r="BY163" s="2" t="str">
        <f t="shared" si="44"/>
        <v/>
      </c>
      <c r="BZ163" s="2"/>
      <c r="CA163" s="2"/>
      <c r="CB163" s="2"/>
      <c r="CC163" s="2"/>
      <c r="CD163" s="2"/>
      <c r="CE163" s="2"/>
      <c r="CF163" s="2"/>
      <c r="CG163" s="2"/>
    </row>
    <row r="164" spans="6:85">
      <c r="F164" s="2">
        <v>5</v>
      </c>
      <c r="G164" s="2" t="s">
        <v>79</v>
      </c>
      <c r="H164" s="2" t="str">
        <f t="shared" si="33"/>
        <v/>
      </c>
      <c r="I164" s="2" t="str">
        <f t="shared" si="34"/>
        <v/>
      </c>
      <c r="J164" s="2"/>
      <c r="K164" s="2"/>
      <c r="L164" s="2"/>
      <c r="M164" s="2"/>
      <c r="N164" s="2"/>
      <c r="O164" s="2"/>
      <c r="P164" s="2"/>
      <c r="Q164" s="2"/>
      <c r="R164" s="2"/>
      <c r="S164" s="2"/>
      <c r="U164" s="2">
        <v>5</v>
      </c>
      <c r="V164" s="2" t="s">
        <v>79</v>
      </c>
      <c r="W164" s="2" t="str">
        <f t="shared" si="35"/>
        <v/>
      </c>
      <c r="X164" s="2" t="str">
        <f t="shared" si="36"/>
        <v/>
      </c>
      <c r="Y164" s="2"/>
      <c r="Z164" s="2"/>
      <c r="AA164" s="2"/>
      <c r="AB164" s="2"/>
      <c r="AC164" s="2"/>
      <c r="AD164" s="2"/>
      <c r="AE164" s="2"/>
      <c r="AF164" s="2"/>
      <c r="AG164" s="2"/>
      <c r="AH164" s="2"/>
      <c r="AI164" s="2">
        <v>5</v>
      </c>
      <c r="AJ164" s="2" t="s">
        <v>79</v>
      </c>
      <c r="AK164" s="2" t="str">
        <f t="shared" si="37"/>
        <v/>
      </c>
      <c r="AL164" s="2" t="str">
        <f t="shared" si="38"/>
        <v/>
      </c>
      <c r="AM164" s="2"/>
      <c r="AN164" s="2"/>
      <c r="AO164" s="2"/>
      <c r="AP164" s="2"/>
      <c r="AQ164" s="2"/>
      <c r="AR164" s="2"/>
      <c r="AS164" s="2"/>
      <c r="AT164" s="2"/>
      <c r="AU164" s="2"/>
      <c r="AW164" s="2">
        <v>5</v>
      </c>
      <c r="AX164" s="2" t="s">
        <v>79</v>
      </c>
      <c r="AY164" s="2" t="str">
        <f t="shared" si="39"/>
        <v/>
      </c>
      <c r="AZ164" s="2" t="str">
        <f t="shared" si="40"/>
        <v/>
      </c>
      <c r="BA164" s="2"/>
      <c r="BB164" s="2"/>
      <c r="BC164" s="2"/>
      <c r="BD164" s="2"/>
      <c r="BE164" s="2"/>
      <c r="BF164" s="2"/>
      <c r="BG164" s="2"/>
      <c r="BH164" s="2"/>
      <c r="BK164" s="2">
        <v>5</v>
      </c>
      <c r="BL164" s="2" t="s">
        <v>79</v>
      </c>
      <c r="BM164" s="2" t="str">
        <f t="shared" si="41"/>
        <v/>
      </c>
      <c r="BN164" s="2" t="str">
        <f t="shared" si="42"/>
        <v/>
      </c>
      <c r="BO164" s="2"/>
      <c r="BP164" s="2"/>
      <c r="BQ164" s="2"/>
      <c r="BR164" s="2"/>
      <c r="BS164" s="2"/>
      <c r="BT164" s="2"/>
      <c r="BU164" s="2"/>
      <c r="BV164" s="2">
        <v>5</v>
      </c>
      <c r="BW164" s="2" t="s">
        <v>79</v>
      </c>
      <c r="BX164" s="2" t="str">
        <f t="shared" si="43"/>
        <v/>
      </c>
      <c r="BY164" s="2" t="str">
        <f t="shared" si="44"/>
        <v/>
      </c>
      <c r="BZ164" s="2"/>
      <c r="CA164" s="2"/>
      <c r="CB164" s="2"/>
      <c r="CC164" s="2"/>
      <c r="CD164" s="2"/>
      <c r="CE164" s="2"/>
      <c r="CF164" s="2"/>
      <c r="CG164" s="2"/>
    </row>
    <row r="165" spans="6:85">
      <c r="F165" s="2">
        <v>6</v>
      </c>
      <c r="G165" s="2" t="s">
        <v>80</v>
      </c>
      <c r="H165" s="2" t="str">
        <f t="shared" si="33"/>
        <v/>
      </c>
      <c r="I165" s="2" t="str">
        <f t="shared" si="34"/>
        <v/>
      </c>
      <c r="J165" s="2"/>
      <c r="K165" s="2"/>
      <c r="L165" s="2"/>
      <c r="M165" s="2"/>
      <c r="N165" s="2"/>
      <c r="O165" s="2"/>
      <c r="P165" s="2"/>
      <c r="Q165" s="2"/>
      <c r="R165" s="2"/>
      <c r="S165" s="2"/>
      <c r="U165" s="2">
        <v>6</v>
      </c>
      <c r="V165" s="2" t="s">
        <v>80</v>
      </c>
      <c r="W165" s="2" t="str">
        <f t="shared" si="35"/>
        <v/>
      </c>
      <c r="X165" s="2" t="str">
        <f t="shared" si="36"/>
        <v/>
      </c>
      <c r="Y165" s="2"/>
      <c r="Z165" s="2"/>
      <c r="AA165" s="2"/>
      <c r="AB165" s="2"/>
      <c r="AC165" s="2"/>
      <c r="AD165" s="2"/>
      <c r="AE165" s="2"/>
      <c r="AF165" s="2"/>
      <c r="AG165" s="2"/>
      <c r="AH165" s="2"/>
      <c r="AI165" s="2">
        <v>6</v>
      </c>
      <c r="AJ165" s="2" t="s">
        <v>80</v>
      </c>
      <c r="AK165" s="2" t="str">
        <f t="shared" si="37"/>
        <v/>
      </c>
      <c r="AL165" s="2" t="str">
        <f t="shared" si="38"/>
        <v/>
      </c>
      <c r="AM165" s="2"/>
      <c r="AN165" s="2"/>
      <c r="AO165" s="2"/>
      <c r="AP165" s="2"/>
      <c r="AQ165" s="2"/>
      <c r="AR165" s="2"/>
      <c r="AS165" s="2"/>
      <c r="AT165" s="2"/>
      <c r="AU165" s="2"/>
      <c r="AW165" s="2">
        <v>6</v>
      </c>
      <c r="AX165" s="2" t="s">
        <v>80</v>
      </c>
      <c r="AY165" s="2" t="str">
        <f t="shared" si="39"/>
        <v/>
      </c>
      <c r="AZ165" s="2" t="str">
        <f t="shared" si="40"/>
        <v/>
      </c>
      <c r="BA165" s="2"/>
      <c r="BB165" s="2"/>
      <c r="BC165" s="2"/>
      <c r="BD165" s="2"/>
      <c r="BE165" s="2"/>
      <c r="BF165" s="2"/>
      <c r="BG165" s="2"/>
      <c r="BH165" s="2"/>
      <c r="BK165" s="2">
        <v>6</v>
      </c>
      <c r="BL165" s="2" t="s">
        <v>80</v>
      </c>
      <c r="BM165" s="2" t="str">
        <f t="shared" si="41"/>
        <v/>
      </c>
      <c r="BN165" s="2" t="str">
        <f t="shared" si="42"/>
        <v/>
      </c>
      <c r="BO165" s="2"/>
      <c r="BP165" s="2"/>
      <c r="BQ165" s="2"/>
      <c r="BR165" s="2"/>
      <c r="BS165" s="2"/>
      <c r="BT165" s="2"/>
      <c r="BU165" s="2"/>
      <c r="BV165" s="2">
        <v>6</v>
      </c>
      <c r="BW165" s="2" t="s">
        <v>80</v>
      </c>
      <c r="BX165" s="2" t="str">
        <f t="shared" si="43"/>
        <v/>
      </c>
      <c r="BY165" s="2" t="str">
        <f t="shared" si="44"/>
        <v/>
      </c>
      <c r="BZ165" s="2"/>
      <c r="CA165" s="2"/>
      <c r="CB165" s="2"/>
      <c r="CC165" s="2"/>
      <c r="CD165" s="2"/>
      <c r="CE165" s="2"/>
      <c r="CF165" s="2"/>
      <c r="CG165" s="2"/>
    </row>
    <row r="166" spans="6:85">
      <c r="F166" s="2">
        <v>7</v>
      </c>
      <c r="G166" s="2" t="s">
        <v>81</v>
      </c>
      <c r="H166" s="2" t="str">
        <f t="shared" si="33"/>
        <v/>
      </c>
      <c r="I166" s="2" t="str">
        <f t="shared" si="34"/>
        <v/>
      </c>
      <c r="J166" s="2"/>
      <c r="K166" s="2"/>
      <c r="L166" s="2"/>
      <c r="M166" s="2"/>
      <c r="N166" s="2"/>
      <c r="O166" s="2"/>
      <c r="P166" s="2"/>
      <c r="Q166" s="2"/>
      <c r="R166" s="2"/>
      <c r="S166" s="2"/>
      <c r="U166" s="2">
        <v>7</v>
      </c>
      <c r="V166" s="2" t="s">
        <v>81</v>
      </c>
      <c r="W166" s="2" t="str">
        <f t="shared" si="35"/>
        <v/>
      </c>
      <c r="X166" s="2" t="str">
        <f t="shared" si="36"/>
        <v/>
      </c>
      <c r="Y166" s="2"/>
      <c r="Z166" s="2"/>
      <c r="AA166" s="2"/>
      <c r="AB166" s="2"/>
      <c r="AC166" s="2"/>
      <c r="AD166" s="2"/>
      <c r="AE166" s="2"/>
      <c r="AF166" s="2"/>
      <c r="AG166" s="2"/>
      <c r="AH166" s="2"/>
      <c r="AI166" s="2">
        <v>7</v>
      </c>
      <c r="AJ166" s="2" t="s">
        <v>81</v>
      </c>
      <c r="AK166" s="2" t="str">
        <f t="shared" si="37"/>
        <v/>
      </c>
      <c r="AL166" s="2" t="str">
        <f t="shared" si="38"/>
        <v/>
      </c>
      <c r="AM166" s="2"/>
      <c r="AN166" s="2"/>
      <c r="AO166" s="2"/>
      <c r="AP166" s="2"/>
      <c r="AQ166" s="2"/>
      <c r="AR166" s="2"/>
      <c r="AS166" s="2"/>
      <c r="AT166" s="2"/>
      <c r="AU166" s="2"/>
      <c r="AW166" s="2">
        <v>7</v>
      </c>
      <c r="AX166" s="2" t="s">
        <v>81</v>
      </c>
      <c r="AY166" s="2" t="str">
        <f t="shared" si="39"/>
        <v/>
      </c>
      <c r="AZ166" s="2" t="str">
        <f t="shared" si="40"/>
        <v/>
      </c>
      <c r="BA166" s="2"/>
      <c r="BB166" s="2"/>
      <c r="BC166" s="2"/>
      <c r="BD166" s="2"/>
      <c r="BE166" s="2"/>
      <c r="BF166" s="2"/>
      <c r="BG166" s="2"/>
      <c r="BH166" s="2"/>
      <c r="BK166" s="2">
        <v>7</v>
      </c>
      <c r="BL166" s="2" t="s">
        <v>81</v>
      </c>
      <c r="BM166" s="2" t="str">
        <f t="shared" si="41"/>
        <v/>
      </c>
      <c r="BN166" s="2" t="str">
        <f t="shared" si="42"/>
        <v/>
      </c>
      <c r="BO166" s="2"/>
      <c r="BP166" s="2"/>
      <c r="BQ166" s="2"/>
      <c r="BR166" s="2"/>
      <c r="BS166" s="2"/>
      <c r="BT166" s="2"/>
      <c r="BU166" s="2"/>
      <c r="BV166" s="2">
        <v>7</v>
      </c>
      <c r="BW166" s="2" t="s">
        <v>81</v>
      </c>
      <c r="BX166" s="2" t="str">
        <f t="shared" si="43"/>
        <v/>
      </c>
      <c r="BY166" s="2" t="str">
        <f t="shared" si="44"/>
        <v/>
      </c>
      <c r="BZ166" s="2"/>
      <c r="CA166" s="2"/>
      <c r="CB166" s="2"/>
      <c r="CC166" s="2"/>
      <c r="CD166" s="2"/>
      <c r="CE166" s="2"/>
      <c r="CF166" s="2"/>
      <c r="CG166" s="2"/>
    </row>
    <row r="167" spans="6:85">
      <c r="F167" s="2">
        <v>8</v>
      </c>
      <c r="G167" s="2" t="s">
        <v>82</v>
      </c>
      <c r="H167" s="2" t="str">
        <f t="shared" si="33"/>
        <v/>
      </c>
      <c r="I167" s="2" t="str">
        <f t="shared" si="34"/>
        <v/>
      </c>
      <c r="J167" s="2"/>
      <c r="K167" s="2"/>
      <c r="L167" s="2"/>
      <c r="M167" s="2"/>
      <c r="N167" s="2"/>
      <c r="O167" s="2"/>
      <c r="P167" s="2"/>
      <c r="Q167" s="2"/>
      <c r="R167" s="2"/>
      <c r="S167" s="2"/>
      <c r="U167" s="2">
        <v>8</v>
      </c>
      <c r="V167" s="2" t="s">
        <v>82</v>
      </c>
      <c r="W167" s="2" t="str">
        <f t="shared" si="35"/>
        <v/>
      </c>
      <c r="X167" s="2" t="str">
        <f t="shared" si="36"/>
        <v/>
      </c>
      <c r="Y167" s="2"/>
      <c r="Z167" s="2"/>
      <c r="AA167" s="2"/>
      <c r="AB167" s="2"/>
      <c r="AC167" s="2"/>
      <c r="AD167" s="2"/>
      <c r="AE167" s="2"/>
      <c r="AF167" s="2"/>
      <c r="AG167" s="2"/>
      <c r="AH167" s="2"/>
      <c r="AI167" s="2">
        <v>8</v>
      </c>
      <c r="AJ167" s="2" t="s">
        <v>82</v>
      </c>
      <c r="AK167" s="2" t="str">
        <f t="shared" si="37"/>
        <v/>
      </c>
      <c r="AL167" s="2" t="str">
        <f t="shared" si="38"/>
        <v/>
      </c>
      <c r="AM167" s="2"/>
      <c r="AN167" s="2"/>
      <c r="AO167" s="2"/>
      <c r="AP167" s="2"/>
      <c r="AQ167" s="2"/>
      <c r="AR167" s="2"/>
      <c r="AS167" s="2"/>
      <c r="AT167" s="2"/>
      <c r="AU167" s="2"/>
      <c r="AW167" s="2">
        <v>8</v>
      </c>
      <c r="AX167" s="2" t="s">
        <v>82</v>
      </c>
      <c r="AY167" s="2" t="str">
        <f t="shared" si="39"/>
        <v/>
      </c>
      <c r="AZ167" s="2" t="str">
        <f t="shared" si="40"/>
        <v/>
      </c>
      <c r="BA167" s="2"/>
      <c r="BB167" s="2"/>
      <c r="BC167" s="2"/>
      <c r="BD167" s="2"/>
      <c r="BE167" s="2"/>
      <c r="BF167" s="2"/>
      <c r="BG167" s="2"/>
      <c r="BH167" s="2"/>
      <c r="BK167" s="2">
        <v>8</v>
      </c>
      <c r="BL167" s="2" t="s">
        <v>82</v>
      </c>
      <c r="BM167" s="2" t="str">
        <f t="shared" si="41"/>
        <v/>
      </c>
      <c r="BN167" s="2" t="str">
        <f t="shared" si="42"/>
        <v/>
      </c>
      <c r="BO167" s="2"/>
      <c r="BP167" s="2"/>
      <c r="BQ167" s="2"/>
      <c r="BR167" s="2"/>
      <c r="BS167" s="2"/>
      <c r="BT167" s="2"/>
      <c r="BU167" s="2"/>
      <c r="BV167" s="2">
        <v>8</v>
      </c>
      <c r="BW167" s="2" t="s">
        <v>82</v>
      </c>
      <c r="BX167" s="2" t="str">
        <f t="shared" si="43"/>
        <v/>
      </c>
      <c r="BY167" s="2" t="str">
        <f t="shared" si="44"/>
        <v/>
      </c>
      <c r="BZ167" s="2"/>
      <c r="CA167" s="2"/>
      <c r="CB167" s="2"/>
      <c r="CC167" s="2"/>
      <c r="CD167" s="2"/>
      <c r="CE167" s="2"/>
      <c r="CF167" s="2"/>
      <c r="CG167" s="2"/>
    </row>
    <row r="168" spans="6:85">
      <c r="F168" s="2">
        <v>9</v>
      </c>
      <c r="G168" s="17" t="s">
        <v>13</v>
      </c>
      <c r="H168" s="2" t="str">
        <f t="shared" si="33"/>
        <v/>
      </c>
      <c r="I168" s="2" t="str">
        <f t="shared" si="34"/>
        <v/>
      </c>
      <c r="J168" s="12" t="s">
        <v>69</v>
      </c>
      <c r="K168" s="2" t="s">
        <v>58</v>
      </c>
      <c r="L168" s="2" t="s">
        <v>58</v>
      </c>
      <c r="M168" s="12" t="s">
        <v>59</v>
      </c>
      <c r="N168" s="2" t="s">
        <v>60</v>
      </c>
      <c r="O168" s="2" t="s">
        <v>61</v>
      </c>
      <c r="P168" s="2" t="s">
        <v>62</v>
      </c>
      <c r="Q168" s="2"/>
      <c r="R168" s="2"/>
      <c r="S168" s="2"/>
      <c r="U168" s="2">
        <v>9</v>
      </c>
      <c r="V168" s="17" t="s">
        <v>13</v>
      </c>
      <c r="W168" s="2" t="str">
        <f t="shared" si="35"/>
        <v/>
      </c>
      <c r="X168" s="2" t="str">
        <f t="shared" si="36"/>
        <v/>
      </c>
      <c r="Y168" s="12" t="s">
        <v>69</v>
      </c>
      <c r="Z168" s="2" t="s">
        <v>58</v>
      </c>
      <c r="AA168" s="2" t="s">
        <v>58</v>
      </c>
      <c r="AB168" s="12" t="s">
        <v>59</v>
      </c>
      <c r="AC168" s="2" t="s">
        <v>60</v>
      </c>
      <c r="AD168" s="2" t="s">
        <v>61</v>
      </c>
      <c r="AE168" s="2" t="s">
        <v>62</v>
      </c>
      <c r="AF168" s="2"/>
      <c r="AG168" s="2"/>
      <c r="AH168" s="2"/>
      <c r="AI168" s="2"/>
      <c r="AJ168" s="2"/>
      <c r="AK168" s="2"/>
      <c r="AL168" s="2"/>
      <c r="AM168" s="12" t="s">
        <v>69</v>
      </c>
      <c r="AN168" s="2" t="s">
        <v>58</v>
      </c>
      <c r="AO168" s="2" t="s">
        <v>58</v>
      </c>
      <c r="AP168" s="12" t="s">
        <v>59</v>
      </c>
      <c r="AQ168" s="2" t="s">
        <v>60</v>
      </c>
      <c r="AR168" s="2" t="s">
        <v>61</v>
      </c>
      <c r="AS168" s="2" t="s">
        <v>62</v>
      </c>
      <c r="AT168" s="2"/>
      <c r="AU168" s="2"/>
      <c r="AW168" s="2"/>
      <c r="AX168" s="2"/>
      <c r="AY168" s="2"/>
      <c r="AZ168" s="2"/>
      <c r="BA168" s="12" t="s">
        <v>69</v>
      </c>
      <c r="BB168" s="2" t="s">
        <v>58</v>
      </c>
      <c r="BC168" s="2" t="s">
        <v>58</v>
      </c>
      <c r="BD168" s="12" t="s">
        <v>59</v>
      </c>
      <c r="BE168" s="2" t="s">
        <v>60</v>
      </c>
      <c r="BF168" s="2" t="s">
        <v>61</v>
      </c>
      <c r="BG168" s="2" t="s">
        <v>62</v>
      </c>
      <c r="BH168" s="2"/>
      <c r="BK168" s="2"/>
      <c r="BL168" s="2"/>
      <c r="BM168" s="2"/>
      <c r="BN168" s="2"/>
      <c r="BO168" s="12" t="s">
        <v>69</v>
      </c>
      <c r="BP168" s="2" t="s">
        <v>58</v>
      </c>
      <c r="BQ168" s="2" t="s">
        <v>58</v>
      </c>
      <c r="BR168" s="12" t="s">
        <v>59</v>
      </c>
      <c r="BS168" s="2" t="s">
        <v>60</v>
      </c>
      <c r="BT168" s="2" t="s">
        <v>61</v>
      </c>
      <c r="BU168" s="2" t="s">
        <v>62</v>
      </c>
      <c r="BV168" s="2"/>
      <c r="BW168" s="2"/>
      <c r="BX168" s="2"/>
      <c r="BY168" s="2"/>
      <c r="BZ168" s="12" t="s">
        <v>69</v>
      </c>
      <c r="CA168" s="2" t="s">
        <v>58</v>
      </c>
      <c r="CB168" s="2" t="s">
        <v>58</v>
      </c>
      <c r="CC168" s="12" t="s">
        <v>59</v>
      </c>
      <c r="CD168" s="2" t="s">
        <v>60</v>
      </c>
      <c r="CE168" s="2" t="s">
        <v>61</v>
      </c>
      <c r="CF168" s="2" t="s">
        <v>62</v>
      </c>
      <c r="CG168" s="2"/>
    </row>
    <row r="169" spans="6:85">
      <c r="F169" s="11">
        <v>1</v>
      </c>
      <c r="G169" s="10" t="s">
        <v>89</v>
      </c>
      <c r="H169" s="9"/>
      <c r="I169" s="8"/>
      <c r="J169" s="7">
        <v>0.19525000000000001</v>
      </c>
      <c r="K169" s="3" t="str">
        <f>IF((J$8=G169),F169,"")</f>
        <v/>
      </c>
      <c r="L169" s="7" t="str">
        <f>IFERROR(SMALL(K$169:K$171,F169),"")</f>
        <v/>
      </c>
      <c r="M169" s="7">
        <v>495</v>
      </c>
      <c r="N169" s="7" t="b">
        <f>IF(L$169=F169,J$10*(M169*J169))</f>
        <v>0</v>
      </c>
      <c r="O169" s="7" t="b">
        <f>IF(L$169=F169,J$11*(M169*J169))</f>
        <v>0</v>
      </c>
      <c r="P169" s="7">
        <f>N169-O169</f>
        <v>0</v>
      </c>
      <c r="Q169" s="2"/>
      <c r="R169" s="2"/>
      <c r="S169" s="2"/>
      <c r="U169" s="11">
        <v>1</v>
      </c>
      <c r="V169" s="10" t="s">
        <v>89</v>
      </c>
      <c r="W169" s="9"/>
      <c r="X169" s="8"/>
      <c r="Y169" s="7">
        <v>0.19525000000000001</v>
      </c>
      <c r="Z169" s="3" t="str">
        <f>IF((K$8=V169),U169,"")</f>
        <v/>
      </c>
      <c r="AA169" s="7" t="str">
        <f>IFERROR(SMALL(Z$169:Z$171,U169),"")</f>
        <v/>
      </c>
      <c r="AB169" s="7">
        <v>495</v>
      </c>
      <c r="AC169" s="7" t="b">
        <f>IF(AA$169=U169,K$10*(AB169*Y169))</f>
        <v>0</v>
      </c>
      <c r="AD169" s="7" t="b">
        <f>IF(AA$169=U169,K$11*(AB169*Y169))</f>
        <v>0</v>
      </c>
      <c r="AE169" s="7">
        <f>AC169-AD169</f>
        <v>0</v>
      </c>
      <c r="AF169" s="2"/>
      <c r="AG169" s="2"/>
      <c r="AH169" s="2"/>
      <c r="AI169" s="11">
        <v>1</v>
      </c>
      <c r="AJ169" s="10" t="s">
        <v>89</v>
      </c>
      <c r="AK169" s="9"/>
      <c r="AL169" s="8"/>
      <c r="AM169" s="7">
        <v>0.19525000000000001</v>
      </c>
      <c r="AN169" s="3" t="str">
        <f>IF((L$8=AJ169),AI169,"")</f>
        <v/>
      </c>
      <c r="AO169" s="7" t="str">
        <f>IFERROR(SMALL(AN$169:AN$171,AI169),"")</f>
        <v/>
      </c>
      <c r="AP169" s="7">
        <v>495</v>
      </c>
      <c r="AQ169" s="7" t="b">
        <f>IF(AO$169=AI169,L$10*(AP169*AM169))</f>
        <v>0</v>
      </c>
      <c r="AR169" s="7" t="b">
        <f>IF(AO$169=AI169,L$11*(AP169*AM169))</f>
        <v>0</v>
      </c>
      <c r="AS169" s="7">
        <f>AQ169-AR169</f>
        <v>0</v>
      </c>
      <c r="AT169" s="2"/>
      <c r="AU169" s="2"/>
      <c r="AW169" s="11">
        <v>1</v>
      </c>
      <c r="AX169" s="10" t="s">
        <v>89</v>
      </c>
      <c r="AY169" s="9"/>
      <c r="AZ169" s="8"/>
      <c r="BA169" s="7">
        <v>0.19525000000000001</v>
      </c>
      <c r="BB169" s="3" t="str">
        <f>IF((M$8=AX169),AW169,"")</f>
        <v/>
      </c>
      <c r="BC169" s="7" t="str">
        <f>IFERROR(SMALL(BB$169:BB$171,AW169),"")</f>
        <v/>
      </c>
      <c r="BD169" s="7">
        <v>495</v>
      </c>
      <c r="BE169" s="7" t="b">
        <f>IF(BC$169=AW169,M$10*(BD169*BA169))</f>
        <v>0</v>
      </c>
      <c r="BF169" s="7" t="b">
        <f>IF(BC$169=AW169,M$11*(BD169*BA169))</f>
        <v>0</v>
      </c>
      <c r="BG169" s="7">
        <f>BE169-BF169</f>
        <v>0</v>
      </c>
      <c r="BH169" s="2"/>
      <c r="BK169" s="11">
        <v>1</v>
      </c>
      <c r="BL169" s="10" t="s">
        <v>89</v>
      </c>
      <c r="BM169" s="9"/>
      <c r="BN169" s="8"/>
      <c r="BO169" s="7">
        <v>0.19525000000000001</v>
      </c>
      <c r="BP169" s="3" t="str">
        <f>IF((N$8=BL169),BK169,"")</f>
        <v/>
      </c>
      <c r="BQ169" s="7" t="str">
        <f>IFERROR(SMALL(BP$169:BP$171,BK169),"")</f>
        <v/>
      </c>
      <c r="BR169" s="7">
        <v>495</v>
      </c>
      <c r="BS169" s="7" t="b">
        <f>IF(BQ$169=BK169,N$10*(BR169*BO169))</f>
        <v>0</v>
      </c>
      <c r="BT169" s="7" t="b">
        <f>IF(BQ$169=BK169,N$11*(BR169*BO169))</f>
        <v>0</v>
      </c>
      <c r="BU169" s="7">
        <f>BS169-BT169</f>
        <v>0</v>
      </c>
      <c r="BV169" s="11">
        <v>1</v>
      </c>
      <c r="BW169" s="10" t="s">
        <v>89</v>
      </c>
      <c r="BX169" s="9"/>
      <c r="BY169" s="8"/>
      <c r="BZ169" s="7">
        <v>0.19525000000000001</v>
      </c>
      <c r="CA169" s="3" t="str">
        <f>IF((O$8=BW169),BV169,"")</f>
        <v/>
      </c>
      <c r="CB169" s="7" t="str">
        <f>IFERROR(SMALL(CA$169:CA$171,BV169),"")</f>
        <v/>
      </c>
      <c r="CC169" s="7">
        <v>495</v>
      </c>
      <c r="CD169" s="7" t="b">
        <f>IF(CB$169=BV169,O$10*(CC169*BZ169))</f>
        <v>0</v>
      </c>
      <c r="CE169" s="7" t="b">
        <f>IF(CB$169=BV169,O$11*(CC169*BZ169))</f>
        <v>0</v>
      </c>
      <c r="CF169" s="7">
        <f>CD169-CE169</f>
        <v>0</v>
      </c>
      <c r="CG169" s="2"/>
    </row>
    <row r="170" spans="6:85">
      <c r="F170" s="2">
        <v>2</v>
      </c>
      <c r="G170" s="6" t="s">
        <v>90</v>
      </c>
      <c r="H170" s="5"/>
      <c r="I170" s="4"/>
      <c r="J170" s="3" t="str">
        <f>IF(I160=1,0.29457, IF(I160=2, 0.706, IF(I160=3, 0.463, IF(I160=4, 0.409, IF(I160=5, 0.022, IF(I160=6, 0.022, IF(I160=7, 0.22, IF(I160=8, 0.22,""))))))))</f>
        <v/>
      </c>
      <c r="K170" s="3" t="str">
        <f>IF((J$8=G170),F170,"")</f>
        <v/>
      </c>
      <c r="L170" s="3" t="str">
        <f>IFERROR(SMALL(K$169:K$171,F170),"")</f>
        <v/>
      </c>
      <c r="M170" s="3">
        <v>301</v>
      </c>
      <c r="N170" s="3" t="b">
        <f>IF(L$169=F170,J$10*(M170*J170))</f>
        <v>0</v>
      </c>
      <c r="O170" s="7" t="b">
        <f>IF(L$169=F170,J$11*(M170*J170))</f>
        <v>0</v>
      </c>
      <c r="P170" s="3">
        <f>((((N170-O170)/1000)*45366)*0.000001)*J6</f>
        <v>0</v>
      </c>
      <c r="Q170" s="2" t="s">
        <v>64</v>
      </c>
      <c r="R170" s="2"/>
      <c r="S170" s="2"/>
      <c r="U170" s="2">
        <v>2</v>
      </c>
      <c r="V170" s="6" t="s">
        <v>90</v>
      </c>
      <c r="W170" s="5"/>
      <c r="X170" s="4"/>
      <c r="Y170" s="3">
        <f>IF(X160=1,0.29457, IF(X160=2, 0.706, IF(X160=3, 0.463, IF(X160=4, 0.409, IF(X160=5, 0.022, IF(X160=6, 0.022, IF(X160=7, 0.22, IF(X160=8, 0.22,""))))))))</f>
        <v>0.29457</v>
      </c>
      <c r="Z170" s="3" t="str">
        <f>IF((K$8=V170),U170,"")</f>
        <v/>
      </c>
      <c r="AA170" s="3" t="str">
        <f>IFERROR(SMALL(Z$169:Z$171,U170),"")</f>
        <v/>
      </c>
      <c r="AB170" s="3">
        <v>301</v>
      </c>
      <c r="AC170" s="3" t="b">
        <f>IF(AA$169=U170,K$10*(AB170*Y170))</f>
        <v>0</v>
      </c>
      <c r="AD170" s="3" t="b">
        <f>IF(AA$169=U170,K$11*(AB170*Y170))</f>
        <v>0</v>
      </c>
      <c r="AE170" s="3">
        <f>((((AC170-AD170)/1000)*45366)*0.000001)*K6</f>
        <v>0</v>
      </c>
      <c r="AF170" s="2" t="s">
        <v>64</v>
      </c>
      <c r="AG170" s="2"/>
      <c r="AH170" s="2"/>
      <c r="AI170" s="2">
        <v>2</v>
      </c>
      <c r="AJ170" s="6" t="s">
        <v>90</v>
      </c>
      <c r="AK170" s="5"/>
      <c r="AL170" s="4"/>
      <c r="AM170" s="3" t="str">
        <f>IF(AL160=1,0.29457, IF(AL160=2, 0.706, IF(AL160=3, 0.463, IF(AL160=4, 0.409, IF(AL160=5, 0.022, IF(AL160=6, 0.022, IF(AL160=7, 0.22, IF(AL160=8, 0.22,""))))))))</f>
        <v/>
      </c>
      <c r="AN170" s="3" t="str">
        <f>IF((L$8=AJ170),AI170,"")</f>
        <v/>
      </c>
      <c r="AO170" s="3" t="str">
        <f>IFERROR(SMALL(AN$169:AN$171,AI170),"")</f>
        <v/>
      </c>
      <c r="AP170" s="3">
        <v>301</v>
      </c>
      <c r="AQ170" s="3" t="b">
        <f>IF(AO$169=AI170,L$10*(AP170*AM170))</f>
        <v>0</v>
      </c>
      <c r="AR170" s="3" t="b">
        <f>IF(AO$169=AI170,L$11*(AP170*AM170))</f>
        <v>0</v>
      </c>
      <c r="AS170" s="3">
        <f>((((AQ170-AR170)/1000)*45366)*0.000001)*L6</f>
        <v>0</v>
      </c>
      <c r="AT170" s="2" t="s">
        <v>64</v>
      </c>
      <c r="AU170" s="2"/>
      <c r="AW170" s="2">
        <v>2</v>
      </c>
      <c r="AX170" s="6" t="s">
        <v>90</v>
      </c>
      <c r="AY170" s="5"/>
      <c r="AZ170" s="4"/>
      <c r="BA170" s="3" t="str">
        <f>IF(AZ160=1,0.29457, IF(AZ160=2, 0.706, IF(AZ160=3, 0.463, IF(AZ160=4, 0.409, IF(AZ160=5, 0.022, IF(AZ160=6, 0.022, IF(AZ160=7, 0.22, IF(AZ160=8, 0.22,""))))))))</f>
        <v/>
      </c>
      <c r="BB170" s="3" t="str">
        <f>IF((M$8=AX170),AW170,"")</f>
        <v/>
      </c>
      <c r="BC170" s="3" t="str">
        <f>IFERROR(SMALL(BB$169:BB$171,AW170),"")</f>
        <v/>
      </c>
      <c r="BD170" s="3">
        <v>301</v>
      </c>
      <c r="BE170" s="3" t="b">
        <f>IF(BC$169=AW170,M$10*(BD170*BA170))</f>
        <v>0</v>
      </c>
      <c r="BF170" s="3" t="b">
        <f>IF(BC$169=AW170,M$11*(BD170*BA170))</f>
        <v>0</v>
      </c>
      <c r="BG170" s="3">
        <f>((((BE170-BF170)/1000)*45366)*0.000001)*M6</f>
        <v>0</v>
      </c>
      <c r="BH170" s="2" t="s">
        <v>64</v>
      </c>
      <c r="BK170" s="2">
        <v>2</v>
      </c>
      <c r="BL170" s="6" t="s">
        <v>90</v>
      </c>
      <c r="BM170" s="5"/>
      <c r="BN170" s="4"/>
      <c r="BO170" s="3" t="str">
        <f>IF(BN160=1,0.29457, IF(BN160=2, 0.706, IF(BN160=3, 0.463, IF(BN160=4, 0.409, IF(BN160=5, 0.022, IF(BN160=6, 0.022, IF(BN160=7, 0.22, IF(BN160=8, 0.22,""))))))))</f>
        <v/>
      </c>
      <c r="BP170" s="3" t="str">
        <f>IF((N$8=BL170),BK170,"")</f>
        <v/>
      </c>
      <c r="BQ170" s="3" t="str">
        <f>IFERROR(SMALL(BP$169:BP$171,BK170),"")</f>
        <v/>
      </c>
      <c r="BR170" s="3">
        <v>301</v>
      </c>
      <c r="BS170" s="3" t="b">
        <f>IF(BQ$169=BK170,N$10*(BR170*BO170))</f>
        <v>0</v>
      </c>
      <c r="BT170" s="3" t="b">
        <f>IF(BQ$169=BK170,N$11*(BR170*BO170))</f>
        <v>0</v>
      </c>
      <c r="BU170" s="3">
        <f>((((BS170-BT170)/1000)*45366)*0.000001)*N6</f>
        <v>0</v>
      </c>
      <c r="BV170" s="2">
        <v>2</v>
      </c>
      <c r="BW170" s="6" t="s">
        <v>90</v>
      </c>
      <c r="BX170" s="5"/>
      <c r="BY170" s="4"/>
      <c r="BZ170" s="3" t="str">
        <f>IF(BY160=1,0.29457, IF(BY160=2, 0.706, IF(BY160=3, 0.463, IF(BY160=4, 0.409, IF(BY160=5, 0.022, IF(BY160=6, 0.022, IF(BY160=7, 0.22, IF(BY160=8, 0.22,""))))))))</f>
        <v/>
      </c>
      <c r="CA170" s="3" t="str">
        <f>IF((O$8=BW170),BV170,"")</f>
        <v/>
      </c>
      <c r="CB170" s="3" t="str">
        <f>IFERROR(SMALL(CA$169:CA$171,BV170),"")</f>
        <v/>
      </c>
      <c r="CC170" s="3">
        <v>301</v>
      </c>
      <c r="CD170" s="3" t="b">
        <f>IF(CB$169=BV170,O$10*(CC170*BZ170))</f>
        <v>0</v>
      </c>
      <c r="CE170" s="3" t="b">
        <f>IF(CB$169=BV170,O$11*(CC170*BZ170))</f>
        <v>0</v>
      </c>
      <c r="CF170" s="3">
        <f>((((CD170-CE170)/1000)*45366)*0.000001)*O6</f>
        <v>0</v>
      </c>
      <c r="CG170" s="2" t="s">
        <v>64</v>
      </c>
    </row>
    <row r="171" spans="6:85">
      <c r="F171" s="2">
        <v>3</v>
      </c>
      <c r="G171" s="6" t="s">
        <v>91</v>
      </c>
      <c r="H171" s="5"/>
      <c r="I171" s="4"/>
      <c r="J171" s="3" t="str">
        <f>IF(I160=1,0.26042, IF(I160=2, 0.624, IF(I160=3, 0.416, IF(I160=4, 0.399, IF(I160=5, 0.029, IF(I160=6, 0.021, IF(I160=7, 0.021, IF(I160=8, 0.021,""))))))))</f>
        <v/>
      </c>
      <c r="K171" s="3" t="str">
        <f>IF((J$8=G171),F171,"")</f>
        <v/>
      </c>
      <c r="L171" s="3" t="str">
        <f>IFERROR(SMALL(K$169:K$171,F171),"")</f>
        <v/>
      </c>
      <c r="M171" s="3">
        <v>247</v>
      </c>
      <c r="N171" s="3" t="b">
        <f>IF(L$169=F171,J$10*(M171*J171))</f>
        <v>0</v>
      </c>
      <c r="O171" s="7" t="b">
        <f>IF(L$169=F171,J$11*(M171*J171))</f>
        <v>0</v>
      </c>
      <c r="P171" s="3">
        <f>((((N171-O171)/1000)*45366)*0.000001)*J6</f>
        <v>0</v>
      </c>
      <c r="Q171" s="2" t="s">
        <v>64</v>
      </c>
      <c r="R171" s="2"/>
      <c r="S171" s="2"/>
      <c r="U171" s="2">
        <v>3</v>
      </c>
      <c r="V171" s="6" t="s">
        <v>91</v>
      </c>
      <c r="W171" s="5"/>
      <c r="X171" s="4"/>
      <c r="Y171" s="3">
        <f>IF(X160=1,0.26042, IF(X160=2, 0.624, IF(X160=3, 0.416, IF(X160=4, 0.399, IF(X160=5, 0.029, IF(X160=6, 0.021, IF(X160=7, 0.021, IF(X160=8, 0.021,""))))))))</f>
        <v>0.26041999999999998</v>
      </c>
      <c r="Z171" s="3" t="str">
        <f>IF((K$8=V171),U171,"")</f>
        <v/>
      </c>
      <c r="AA171" s="3" t="str">
        <f>IFERROR(SMALL(Z$169:Z$171,U171),"")</f>
        <v/>
      </c>
      <c r="AB171" s="3">
        <v>247</v>
      </c>
      <c r="AC171" s="3" t="b">
        <f>IF(AA$169=U171,K$10*(AB171*Y171))</f>
        <v>0</v>
      </c>
      <c r="AD171" s="3" t="b">
        <f>IF(AA$169=U171,K$11*(AB171*Y171))</f>
        <v>0</v>
      </c>
      <c r="AE171" s="3">
        <f>((((AC171-AD171)/1000)*45366)*0.000001)*K6</f>
        <v>0</v>
      </c>
      <c r="AF171" s="2" t="s">
        <v>64</v>
      </c>
      <c r="AG171" s="2"/>
      <c r="AH171" s="2"/>
      <c r="AI171" s="2">
        <v>3</v>
      </c>
      <c r="AJ171" s="6" t="s">
        <v>91</v>
      </c>
      <c r="AK171" s="5"/>
      <c r="AL171" s="4"/>
      <c r="AM171" s="3" t="str">
        <f>IF(AL160=1,0.26042, IF(AL160=2, 0.624, IF(AL160=3, 0.416, IF(AL160=4, 0.399, IF(AL160=5, 0.029, IF(AL160=6, 0.021, IF(AL160=7, 0.021, IF(AL160=8, 0.021,""))))))))</f>
        <v/>
      </c>
      <c r="AN171" s="3" t="str">
        <f>IF((L$8=AJ171),AI171,"")</f>
        <v/>
      </c>
      <c r="AO171" s="3" t="str">
        <f>IFERROR(SMALL(AN$169:AN$171,AI171),"")</f>
        <v/>
      </c>
      <c r="AP171" s="3">
        <v>247</v>
      </c>
      <c r="AQ171" s="3" t="b">
        <f>IF(AO$169=AI171,L$10*(AP171*AM171))</f>
        <v>0</v>
      </c>
      <c r="AR171" s="3" t="b">
        <f>IF(AO$169=AI171,L$11*(AP171*AM171))</f>
        <v>0</v>
      </c>
      <c r="AS171" s="3">
        <f>((((AQ171-AR171)/1000)*45366)*0.000001)*L6</f>
        <v>0</v>
      </c>
      <c r="AT171" s="2" t="s">
        <v>64</v>
      </c>
      <c r="AU171" s="2"/>
      <c r="AW171" s="2">
        <v>3</v>
      </c>
      <c r="AX171" s="6" t="s">
        <v>91</v>
      </c>
      <c r="AY171" s="5"/>
      <c r="AZ171" s="4"/>
      <c r="BA171" s="3" t="str">
        <f>IF(AZ160=1,0.26042, IF(AZ160=2, 0.624, IF(AZ160=3, 0.416, IF(AZ160=4, 0.399, IF(AZ160=5, 0.029, IF(AZ160=6, 0.021, IF(AZ160=7, 0.021, IF(AZ160=8, 0.021,""))))))))</f>
        <v/>
      </c>
      <c r="BB171" s="3" t="str">
        <f>IF((M$8=AX171),AW171,"")</f>
        <v/>
      </c>
      <c r="BC171" s="3" t="str">
        <f>IFERROR(SMALL(BB$169:BB$171,AW171),"")</f>
        <v/>
      </c>
      <c r="BD171" s="3">
        <v>247</v>
      </c>
      <c r="BE171" s="3" t="b">
        <f>IF(BC$169=AW171,M$10*(BD171*BA171))</f>
        <v>0</v>
      </c>
      <c r="BF171" s="3" t="b">
        <f>IF(BC$169=AW171,M$11*(BD171*BA171))</f>
        <v>0</v>
      </c>
      <c r="BG171" s="3">
        <f>((((BE171-BF171)/1000)*45366)*0.000001)*M6</f>
        <v>0</v>
      </c>
      <c r="BH171" s="2" t="s">
        <v>64</v>
      </c>
      <c r="BK171" s="2">
        <v>3</v>
      </c>
      <c r="BL171" s="6" t="s">
        <v>91</v>
      </c>
      <c r="BM171" s="5"/>
      <c r="BN171" s="4"/>
      <c r="BO171" s="3" t="str">
        <f>IF(BN160=1,0.26042, IF(BN160=2, 0.624, IF(BN160=3, 0.416, IF(BN160=4, 0.399, IF(BN160=5, 0.029, IF(BN160=6, 0.021, IF(BN160=7, 0.021, IF(BN160=8, 0.021,""))))))))</f>
        <v/>
      </c>
      <c r="BP171" s="3" t="str">
        <f>IF((N$8=BL171),BK171,"")</f>
        <v/>
      </c>
      <c r="BQ171" s="3" t="str">
        <f>IFERROR(SMALL(BP$169:BP$171,BK171),"")</f>
        <v/>
      </c>
      <c r="BR171" s="3">
        <v>247</v>
      </c>
      <c r="BS171" s="3" t="b">
        <f>IF(BQ$169=BK171,N$10*(BR171*BO171))</f>
        <v>0</v>
      </c>
      <c r="BT171" s="3" t="b">
        <f>IF(BQ$169=BK171,N$11*(BR171*BO171))</f>
        <v>0</v>
      </c>
      <c r="BU171" s="3">
        <f>((((BS171-BT171)/1000)*45366)*0.000001)*N6</f>
        <v>0</v>
      </c>
      <c r="BV171" s="2">
        <v>3</v>
      </c>
      <c r="BW171" s="6" t="s">
        <v>91</v>
      </c>
      <c r="BX171" s="5"/>
      <c r="BY171" s="4"/>
      <c r="BZ171" s="3" t="str">
        <f>IF(BY160=1,0.26042, IF(BY160=2, 0.624, IF(BY160=3, 0.416, IF(BY160=4, 0.399, IF(BY160=5, 0.029, IF(BY160=6, 0.021, IF(BY160=7, 0.021, IF(BY160=8, 0.021,""))))))))</f>
        <v/>
      </c>
      <c r="CA171" s="3" t="str">
        <f>IF((O$8=BW171),BV171,"")</f>
        <v/>
      </c>
      <c r="CB171" s="3" t="str">
        <f>IFERROR(SMALL(CA$169:CA$171,BV171),"")</f>
        <v/>
      </c>
      <c r="CC171" s="3">
        <v>247</v>
      </c>
      <c r="CD171" s="3" t="b">
        <f>IF(CB$169=BV171,O$10*(CC171*BZ171))</f>
        <v>0</v>
      </c>
      <c r="CE171" s="3" t="b">
        <f>IF(CB$169=BV171,O$11*(CC171*BZ171))</f>
        <v>0</v>
      </c>
      <c r="CF171" s="3">
        <f>((((CD171-CE171)/1000)*45366)*0.000001)*O6</f>
        <v>0</v>
      </c>
      <c r="CG171" s="2" t="s">
        <v>64</v>
      </c>
    </row>
    <row r="172" spans="6:85">
      <c r="F172" s="2">
        <v>4</v>
      </c>
      <c r="G172" s="17" t="s">
        <v>13</v>
      </c>
      <c r="H172" s="2"/>
      <c r="I172" s="2"/>
      <c r="J172" s="2"/>
      <c r="K172" s="2"/>
      <c r="L172" s="2"/>
      <c r="M172" s="2"/>
      <c r="N172" s="2"/>
      <c r="O172" s="2"/>
      <c r="P172" s="2"/>
      <c r="Q172" s="2"/>
      <c r="R172" s="2"/>
      <c r="S172" s="2"/>
      <c r="U172" s="2"/>
      <c r="V172" s="2"/>
      <c r="W172" s="2"/>
      <c r="X172" s="2"/>
      <c r="Y172" s="2"/>
      <c r="Z172" s="2"/>
      <c r="AA172" s="2"/>
      <c r="AB172" s="2"/>
      <c r="AC172" s="2"/>
      <c r="AD172" s="2"/>
      <c r="AE172" s="2"/>
      <c r="AF172" s="2"/>
      <c r="AG172" s="2"/>
      <c r="AH172" s="2"/>
      <c r="AI172" s="2"/>
      <c r="AJ172" s="2"/>
      <c r="AK172" s="2"/>
      <c r="AL172" s="2"/>
      <c r="AM172" s="2"/>
      <c r="AN172" s="2"/>
      <c r="AO172" s="2"/>
      <c r="AP172" s="2"/>
      <c r="AQ172" s="2"/>
      <c r="AR172" s="2"/>
      <c r="AS172" s="2"/>
      <c r="AT172" s="2"/>
      <c r="AU172" s="2"/>
      <c r="AW172" s="2"/>
      <c r="AX172" s="2"/>
      <c r="AY172" s="2"/>
      <c r="AZ172" s="2"/>
      <c r="BA172" s="2"/>
      <c r="BB172" s="2"/>
      <c r="BC172" s="2"/>
      <c r="BD172" s="2"/>
      <c r="BE172" s="2"/>
      <c r="BF172" s="2"/>
      <c r="BG172" s="2"/>
      <c r="BH172" s="2"/>
      <c r="BK172" s="2"/>
      <c r="BL172" s="2"/>
      <c r="BM172" s="2"/>
      <c r="BN172" s="2"/>
      <c r="BO172" s="2"/>
      <c r="BP172" s="2"/>
      <c r="BQ172" s="2"/>
      <c r="BR172" s="2"/>
      <c r="BS172" s="2"/>
      <c r="BT172" s="2"/>
      <c r="BU172" s="2"/>
      <c r="BV172" s="2"/>
      <c r="BW172" s="2"/>
      <c r="BX172" s="2"/>
      <c r="BY172" s="2"/>
      <c r="BZ172" s="2"/>
      <c r="CA172" s="2"/>
      <c r="CB172" s="2"/>
      <c r="CC172" s="2"/>
      <c r="CD172" s="2"/>
      <c r="CE172" s="2"/>
      <c r="CF172" s="2"/>
      <c r="CG172" s="2"/>
    </row>
    <row r="173" spans="6:85">
      <c r="F173" s="2"/>
      <c r="G173" s="2"/>
      <c r="H173" s="2"/>
      <c r="I173" s="2"/>
      <c r="J173" s="12" t="s">
        <v>70</v>
      </c>
      <c r="K173" s="2" t="s">
        <v>58</v>
      </c>
      <c r="L173" s="2" t="s">
        <v>58</v>
      </c>
      <c r="M173" s="12" t="s">
        <v>59</v>
      </c>
      <c r="N173" s="2" t="s">
        <v>60</v>
      </c>
      <c r="O173" s="2" t="s">
        <v>61</v>
      </c>
      <c r="P173" s="2" t="s">
        <v>62</v>
      </c>
      <c r="Q173" s="2"/>
      <c r="R173" s="2"/>
      <c r="S173" s="2"/>
      <c r="U173" s="2"/>
      <c r="V173" s="2"/>
      <c r="W173" s="2"/>
      <c r="X173" s="2"/>
      <c r="Y173" s="12" t="s">
        <v>70</v>
      </c>
      <c r="Z173" s="2" t="s">
        <v>58</v>
      </c>
      <c r="AA173" s="2" t="s">
        <v>58</v>
      </c>
      <c r="AB173" s="12" t="s">
        <v>59</v>
      </c>
      <c r="AC173" s="2" t="s">
        <v>60</v>
      </c>
      <c r="AD173" s="2" t="s">
        <v>61</v>
      </c>
      <c r="AE173" s="2" t="s">
        <v>62</v>
      </c>
      <c r="AF173" s="2"/>
      <c r="AG173" s="2"/>
      <c r="AH173" s="2"/>
      <c r="AI173" s="2"/>
      <c r="AJ173" s="2"/>
      <c r="AK173" s="2"/>
      <c r="AL173" s="2"/>
      <c r="AM173" s="12" t="s">
        <v>70</v>
      </c>
      <c r="AN173" s="2" t="s">
        <v>58</v>
      </c>
      <c r="AO173" s="2" t="s">
        <v>58</v>
      </c>
      <c r="AP173" s="12" t="s">
        <v>59</v>
      </c>
      <c r="AQ173" s="2" t="s">
        <v>60</v>
      </c>
      <c r="AR173" s="2" t="s">
        <v>61</v>
      </c>
      <c r="AS173" s="2" t="s">
        <v>62</v>
      </c>
      <c r="AT173" s="2"/>
      <c r="AU173" s="2"/>
      <c r="AW173" s="2"/>
      <c r="AX173" s="2"/>
      <c r="AY173" s="2"/>
      <c r="AZ173" s="2"/>
      <c r="BA173" s="12" t="s">
        <v>70</v>
      </c>
      <c r="BB173" s="2" t="s">
        <v>58</v>
      </c>
      <c r="BC173" s="2" t="s">
        <v>58</v>
      </c>
      <c r="BD173" s="12" t="s">
        <v>59</v>
      </c>
      <c r="BE173" s="2" t="s">
        <v>60</v>
      </c>
      <c r="BF173" s="2" t="s">
        <v>61</v>
      </c>
      <c r="BG173" s="2" t="s">
        <v>62</v>
      </c>
      <c r="BH173" s="2"/>
      <c r="BK173" s="2"/>
      <c r="BL173" s="2"/>
      <c r="BM173" s="2"/>
      <c r="BN173" s="2"/>
      <c r="BO173" s="12" t="s">
        <v>70</v>
      </c>
      <c r="BP173" s="2" t="s">
        <v>58</v>
      </c>
      <c r="BQ173" s="2" t="s">
        <v>58</v>
      </c>
      <c r="BR173" s="12" t="s">
        <v>59</v>
      </c>
      <c r="BS173" s="2" t="s">
        <v>60</v>
      </c>
      <c r="BT173" s="2" t="s">
        <v>61</v>
      </c>
      <c r="BU173" s="2" t="s">
        <v>62</v>
      </c>
      <c r="BV173" s="2"/>
      <c r="BW173" s="2"/>
      <c r="BX173" s="2"/>
      <c r="BY173" s="2"/>
      <c r="BZ173" s="12" t="s">
        <v>70</v>
      </c>
      <c r="CA173" s="2" t="s">
        <v>58</v>
      </c>
      <c r="CB173" s="2" t="s">
        <v>58</v>
      </c>
      <c r="CC173" s="12" t="s">
        <v>59</v>
      </c>
      <c r="CD173" s="2" t="s">
        <v>60</v>
      </c>
      <c r="CE173" s="2" t="s">
        <v>61</v>
      </c>
      <c r="CF173" s="2" t="s">
        <v>62</v>
      </c>
      <c r="CG173" s="2"/>
    </row>
    <row r="174" spans="6:85">
      <c r="F174" s="11">
        <v>1</v>
      </c>
      <c r="G174" s="10" t="s">
        <v>89</v>
      </c>
      <c r="H174" s="9"/>
      <c r="I174" s="8"/>
      <c r="J174" s="7">
        <v>11</v>
      </c>
      <c r="K174" s="7" t="str">
        <f>IF((J$8=G174),F174,"")</f>
        <v/>
      </c>
      <c r="L174" s="7" t="str">
        <f>IFERROR(SMALL(K$174:K$176,F174),"")</f>
        <v/>
      </c>
      <c r="M174" s="7">
        <v>495</v>
      </c>
      <c r="N174" s="7" t="b">
        <f>IF(L$174=F174,J$10*(M174*J174))</f>
        <v>0</v>
      </c>
      <c r="O174" s="7" t="b">
        <f>IF(L$174=F174,J$11*(M174*J174))</f>
        <v>0</v>
      </c>
      <c r="P174" s="7">
        <f>N174-O174</f>
        <v>0</v>
      </c>
      <c r="Q174" s="2"/>
      <c r="R174" s="2"/>
      <c r="S174" s="2"/>
      <c r="U174" s="11">
        <v>1</v>
      </c>
      <c r="V174" s="10" t="s">
        <v>89</v>
      </c>
      <c r="W174" s="9"/>
      <c r="X174" s="8"/>
      <c r="Y174" s="7">
        <v>11</v>
      </c>
      <c r="Z174" s="7" t="str">
        <f>IF((K$8=V174),U174,"")</f>
        <v/>
      </c>
      <c r="AA174" s="7" t="str">
        <f>IFERROR(SMALL(Z$174:Z$176,U174),"")</f>
        <v/>
      </c>
      <c r="AB174" s="7">
        <v>495</v>
      </c>
      <c r="AC174" s="7" t="b">
        <f>IF(AA$174=U174,K$10*(AB174*Y174))</f>
        <v>0</v>
      </c>
      <c r="AD174" s="7" t="b">
        <f>IF(AA$174=U174,K$11*(AB174*Y174))</f>
        <v>0</v>
      </c>
      <c r="AE174" s="7">
        <f>AC174-AD174</f>
        <v>0</v>
      </c>
      <c r="AF174" s="2"/>
      <c r="AG174" s="2"/>
      <c r="AH174" s="2"/>
      <c r="AI174" s="11">
        <v>1</v>
      </c>
      <c r="AJ174" s="10" t="s">
        <v>89</v>
      </c>
      <c r="AK174" s="9"/>
      <c r="AL174" s="8"/>
      <c r="AM174" s="7">
        <v>11</v>
      </c>
      <c r="AN174" s="7" t="str">
        <f>IF((L$8=AJ174),AI174,"")</f>
        <v/>
      </c>
      <c r="AO174" s="7" t="str">
        <f>IFERROR(SMALL(AN$174:AN$176,AI174),"")</f>
        <v/>
      </c>
      <c r="AP174" s="7">
        <v>495</v>
      </c>
      <c r="AQ174" s="7" t="b">
        <f>IF(AO$174=AI174,L$10*(AP174*AM174))</f>
        <v>0</v>
      </c>
      <c r="AR174" s="7" t="b">
        <f>IF(AO$174=AI174,L$11*(AP174*AM174))</f>
        <v>0</v>
      </c>
      <c r="AS174" s="7">
        <f>AQ174-AR174</f>
        <v>0</v>
      </c>
      <c r="AT174" s="2"/>
      <c r="AU174" s="2"/>
      <c r="AW174" s="11">
        <v>1</v>
      </c>
      <c r="AX174" s="10" t="s">
        <v>89</v>
      </c>
      <c r="AY174" s="9"/>
      <c r="AZ174" s="8"/>
      <c r="BA174" s="7">
        <v>11</v>
      </c>
      <c r="BB174" s="7" t="str">
        <f>IF((AM$8=AX174),AW174,"")</f>
        <v/>
      </c>
      <c r="BC174" s="7" t="str">
        <f>IFERROR(SMALL(BB$174:BB$176,AW174),"")</f>
        <v/>
      </c>
      <c r="BD174" s="7">
        <v>495</v>
      </c>
      <c r="BE174" s="7" t="b">
        <f>IF(BC$174=AW174,M$10*(BD174*BA174))</f>
        <v>0</v>
      </c>
      <c r="BF174" s="7" t="b">
        <f>IF(BC$174=AW174,M$11*(BD174*BA174))</f>
        <v>0</v>
      </c>
      <c r="BG174" s="7">
        <f>BE174-BF174</f>
        <v>0</v>
      </c>
      <c r="BH174" s="2"/>
      <c r="BK174" s="11">
        <v>1</v>
      </c>
      <c r="BL174" s="10" t="s">
        <v>89</v>
      </c>
      <c r="BM174" s="9"/>
      <c r="BN174" s="8"/>
      <c r="BO174" s="7">
        <v>11</v>
      </c>
      <c r="BP174" s="7" t="str">
        <f>IF((N$8=BL174),BK174,"")</f>
        <v/>
      </c>
      <c r="BQ174" s="7" t="str">
        <f>IFERROR(SMALL(BP$174:BP$176,BK174),"")</f>
        <v/>
      </c>
      <c r="BR174" s="7">
        <v>495</v>
      </c>
      <c r="BS174" s="7" t="b">
        <f>IF(BQ$174=BK174,N$10*(BR174*BO174))</f>
        <v>0</v>
      </c>
      <c r="BT174" s="7" t="b">
        <f>IF(BQ$174=BK174,N$11*(BR174*BO174))</f>
        <v>0</v>
      </c>
      <c r="BU174" s="7">
        <f>BS174-BT174</f>
        <v>0</v>
      </c>
      <c r="BV174" s="11">
        <v>1</v>
      </c>
      <c r="BW174" s="10" t="s">
        <v>89</v>
      </c>
      <c r="BX174" s="9"/>
      <c r="BY174" s="8"/>
      <c r="BZ174" s="7">
        <v>11</v>
      </c>
      <c r="CA174" s="7" t="str">
        <f>IF((O$8=BW174),BV174,"")</f>
        <v/>
      </c>
      <c r="CB174" s="7" t="str">
        <f>IFERROR(SMALL(CA$174:CA$176,BV174),"")</f>
        <v/>
      </c>
      <c r="CC174" s="7">
        <v>495</v>
      </c>
      <c r="CD174" s="7" t="b">
        <f>IF(CB$174=BV174,O$10*(CC174*BZ174))</f>
        <v>0</v>
      </c>
      <c r="CE174" s="7" t="b">
        <f>IF(CB$174=BV174,O$11*(CC174*BZ174))</f>
        <v>0</v>
      </c>
      <c r="CF174" s="7">
        <f>CD174-CE174</f>
        <v>0</v>
      </c>
      <c r="CG174" s="2"/>
    </row>
    <row r="175" spans="6:85">
      <c r="F175" s="2">
        <v>2</v>
      </c>
      <c r="G175" s="6" t="s">
        <v>90</v>
      </c>
      <c r="H175" s="5"/>
      <c r="I175" s="4"/>
      <c r="J175" s="3" t="str">
        <f>IF(I160=1,5.9557, IF(I160=2,10.1, IF(I160=3, 10.7, IF(I160=4, 9.38, IF(I160=5, 5.42, IF(I160=6, 3.09, IF(I160=7, 1.5, IF(I160=8, 1.5,""))))))))</f>
        <v/>
      </c>
      <c r="K175" s="3" t="str">
        <f>IF((J$8=G175),F175,"")</f>
        <v/>
      </c>
      <c r="L175" s="3" t="str">
        <f>IFERROR(SMALL(K$174:K$176,F175),"")</f>
        <v/>
      </c>
      <c r="M175" s="3">
        <v>301</v>
      </c>
      <c r="N175" s="3" t="b">
        <f>IF(L$174=F175,J$10*(M175*J175))</f>
        <v>0</v>
      </c>
      <c r="O175" s="3" t="b">
        <f>IF(L$174=F175,J$11*(M175*J175))</f>
        <v>0</v>
      </c>
      <c r="P175" s="3">
        <f>((((N175-O175)/1000)*45366)*0.000001)*J6</f>
        <v>0</v>
      </c>
      <c r="Q175" s="2" t="s">
        <v>64</v>
      </c>
      <c r="R175" s="2"/>
      <c r="S175" s="2"/>
      <c r="U175" s="2">
        <v>2</v>
      </c>
      <c r="V175" s="6" t="s">
        <v>90</v>
      </c>
      <c r="W175" s="5"/>
      <c r="X175" s="4"/>
      <c r="Y175" s="3">
        <f>IF(X160=1,5.9557, IF(X160=2,10.1, IF(X160=3, 10.7, IF(X160=4, 9.38, IF(X160=5, 5.42, IF(X160=6, 3.09, IF(X160=7, 1.5, IF(X160=8, 1.5,""))))))))</f>
        <v>5.9557000000000002</v>
      </c>
      <c r="Z175" s="3" t="str">
        <f>IF((K$8=V175),U175,"")</f>
        <v/>
      </c>
      <c r="AA175" s="3" t="str">
        <f>IFERROR(SMALL(Z$174:Z$176,U175),"")</f>
        <v/>
      </c>
      <c r="AB175" s="3">
        <v>301</v>
      </c>
      <c r="AC175" s="3" t="b">
        <f>IF(AA$174=U175,K$10*(AB175*Y175))</f>
        <v>0</v>
      </c>
      <c r="AD175" s="3" t="b">
        <f>IF(AA$174=U175,K$11*(AB175*Y175))</f>
        <v>0</v>
      </c>
      <c r="AE175" s="3">
        <f>((((AC175-AD175)/1000)*45366)*0.000001)*K6</f>
        <v>0</v>
      </c>
      <c r="AF175" s="2" t="s">
        <v>64</v>
      </c>
      <c r="AG175" s="2"/>
      <c r="AH175" s="2"/>
      <c r="AI175" s="2">
        <v>2</v>
      </c>
      <c r="AJ175" s="6" t="s">
        <v>90</v>
      </c>
      <c r="AK175" s="5"/>
      <c r="AL175" s="4"/>
      <c r="AM175" s="3" t="str">
        <f>IF(AL160=1,5.9557, IF(AL160=2,10.1, IF(AL160=3, 10.7, IF(AL160=4, 9.38, IF(AL160=5, 5.42, IF(AL160=6, 3.09, IF(AL160=7, 1.5, IF(AL160=8, 1.5,""))))))))</f>
        <v/>
      </c>
      <c r="AN175" s="3" t="str">
        <f>IF((L$8=AJ175),AI175,"")</f>
        <v/>
      </c>
      <c r="AO175" s="3" t="str">
        <f>IFERROR(SMALL(AN$174:AN$176,AI175),"")</f>
        <v/>
      </c>
      <c r="AP175" s="3">
        <v>301</v>
      </c>
      <c r="AQ175" s="3" t="b">
        <f>IF(AO$174=AI175,L$10*(AP175*AM175))</f>
        <v>0</v>
      </c>
      <c r="AR175" s="3" t="b">
        <f>IF(AO$174=AI175,L$11*(AP175*AM175))</f>
        <v>0</v>
      </c>
      <c r="AS175" s="3">
        <f>((((AQ175-AR175)/1000)*45366)*0.000001)*L6</f>
        <v>0</v>
      </c>
      <c r="AT175" s="2" t="s">
        <v>64</v>
      </c>
      <c r="AU175" s="2"/>
      <c r="AW175" s="2">
        <v>2</v>
      </c>
      <c r="AX175" s="6" t="s">
        <v>90</v>
      </c>
      <c r="AY175" s="5"/>
      <c r="AZ175" s="4"/>
      <c r="BA175" s="3" t="str">
        <f>IF(AZ160=1,5.9557, IF(AZ160=2,10.1, IF(AZ160=3, 10.7, IF(AZ160=4, 9.38, IF(AZ160=5, 5.42, IF(AZ160=6, 3.09, IF(AZ160=7, 1.5, IF(AZ160=8, 1.5,""))))))))</f>
        <v/>
      </c>
      <c r="BB175" s="3" t="str">
        <f>IF((M$8=AX175),AW175,"")</f>
        <v/>
      </c>
      <c r="BC175" s="3" t="str">
        <f>IFERROR(SMALL(BB$174:BB$176,AW175),"")</f>
        <v/>
      </c>
      <c r="BD175" s="3">
        <v>301</v>
      </c>
      <c r="BE175" s="3" t="b">
        <f>IF(BC$174=AW175,M$10*(BD175*BA175))</f>
        <v>0</v>
      </c>
      <c r="BF175" s="3" t="b">
        <f>IF(BC$174=AW175,M$11*(BD175*BA175))</f>
        <v>0</v>
      </c>
      <c r="BG175" s="3">
        <f>((((BE175-BF175)/1000)*45366)*0.000001)*M6</f>
        <v>0</v>
      </c>
      <c r="BH175" s="2" t="s">
        <v>64</v>
      </c>
      <c r="BK175" s="2">
        <v>2</v>
      </c>
      <c r="BL175" s="6" t="s">
        <v>90</v>
      </c>
      <c r="BM175" s="5"/>
      <c r="BN175" s="4"/>
      <c r="BO175" s="3" t="str">
        <f>IF(BN160=1,5.9557, IF(BN160=2,10.1, IF(BN160=3, 10.7, IF(BN160=4, 9.38, IF(BN160=5, 5.42, IF(BN160=6, 3.09, IF(BN160=7, 1.5, IF(BN160=8, 1.5,""))))))))</f>
        <v/>
      </c>
      <c r="BP175" s="3" t="str">
        <f>IF((N$8=BL175),BK175,"")</f>
        <v/>
      </c>
      <c r="BQ175" s="3" t="str">
        <f>IFERROR(SMALL(BP$174:BP$176,BK175),"")</f>
        <v/>
      </c>
      <c r="BR175" s="3">
        <v>301</v>
      </c>
      <c r="BS175" s="3" t="b">
        <f>IF(BQ$174=BK175,N$10*(BR175*BO175))</f>
        <v>0</v>
      </c>
      <c r="BT175" s="3" t="b">
        <f>IF(BQ$174=BK175,N$11*(BR175*BO175))</f>
        <v>0</v>
      </c>
      <c r="BU175" s="3">
        <f>((((BS175-BT175)/1000)*45366)*0.000001)*N6</f>
        <v>0</v>
      </c>
      <c r="BV175" s="2">
        <v>2</v>
      </c>
      <c r="BW175" s="6" t="s">
        <v>90</v>
      </c>
      <c r="BX175" s="5"/>
      <c r="BY175" s="4"/>
      <c r="BZ175" s="3" t="str">
        <f>IF(BY160=1,5.9557, IF(BY160=2,10.1, IF(BY160=3, 10.7, IF(BY160=4, 9.38, IF(BY160=5, 5.42, IF(BY160=6, 3.09, IF(BY160=7, 1.5, IF(BY160=8, 1.5,""))))))))</f>
        <v/>
      </c>
      <c r="CA175" s="3" t="str">
        <f>IF((O$8=BW175),BV175,"")</f>
        <v/>
      </c>
      <c r="CB175" s="3" t="str">
        <f>IFERROR(SMALL(CA$174:CA$176,BV175),"")</f>
        <v/>
      </c>
      <c r="CC175" s="3">
        <v>301</v>
      </c>
      <c r="CD175" s="3" t="b">
        <f>IF(CB$174=BV175,O$10*(CC175*BZ175))</f>
        <v>0</v>
      </c>
      <c r="CE175" s="3" t="b">
        <f>IF(CB$174=BV175,O$11*(CC175*BZ175))</f>
        <v>0</v>
      </c>
      <c r="CF175" s="3">
        <f>((((CD175-CE175)/1000)*45366)*0.000001)*O6</f>
        <v>0</v>
      </c>
      <c r="CG175" s="2" t="s">
        <v>64</v>
      </c>
    </row>
    <row r="176" spans="6:85">
      <c r="F176" s="2">
        <v>3</v>
      </c>
      <c r="G176" s="6" t="s">
        <v>91</v>
      </c>
      <c r="H176" s="5"/>
      <c r="I176" s="4"/>
      <c r="J176" s="3" t="str">
        <f>IF(I160=1,4.66171, IF(I160=2, 8.1, IF(I160=3, 8.95, IF(I160=4, 7.51, IF(I160=5, 4.51, IF(I160=6, 2.57, IF(I160=7, 0.496, IF(I160=8, 0.496,""))))))))</f>
        <v/>
      </c>
      <c r="K176" s="3" t="str">
        <f>IF((J$8=G176),F176,"")</f>
        <v/>
      </c>
      <c r="L176" s="3" t="str">
        <f>IFERROR(SMALL(K$174:K$176,F176),"")</f>
        <v/>
      </c>
      <c r="M176" s="3">
        <v>247</v>
      </c>
      <c r="N176" s="3" t="b">
        <f>IF(L$174=F176,J$10*(M176*J176))</f>
        <v>0</v>
      </c>
      <c r="O176" s="3" t="b">
        <f>IF(L$174=F176,J$11*(M176*J176))</f>
        <v>0</v>
      </c>
      <c r="P176" s="3">
        <f>((((N176-O176)/1000)*45366)*0.000001)*J6</f>
        <v>0</v>
      </c>
      <c r="Q176" s="2" t="s">
        <v>64</v>
      </c>
      <c r="R176" s="2"/>
      <c r="S176" s="2"/>
      <c r="U176" s="2">
        <v>3</v>
      </c>
      <c r="V176" s="6" t="s">
        <v>91</v>
      </c>
      <c r="W176" s="5"/>
      <c r="X176" s="4"/>
      <c r="Y176" s="3">
        <f>IF(X160=1,4.66171, IF(X160=2, 8.1, IF(X160=3, 8.95, IF(X160=4, 7.51, IF(X160=5, 4.51, IF(X160=6, 2.57, IF(X160=7, 0.496, IF(X160=8, 0.496,""))))))))</f>
        <v>4.6617100000000002</v>
      </c>
      <c r="Z176" s="3" t="str">
        <f>IF((K$8=V176),U176,"")</f>
        <v/>
      </c>
      <c r="AA176" s="3" t="str">
        <f>IFERROR(SMALL(Z$174:Z$176,U176),"")</f>
        <v/>
      </c>
      <c r="AB176" s="3">
        <v>247</v>
      </c>
      <c r="AC176" s="3" t="b">
        <f>IF(AA$174=U176,K$10*(AB176*Y176))</f>
        <v>0</v>
      </c>
      <c r="AD176" s="3" t="b">
        <f>IF(AA$174=U176,K$11*(AB176*Y176))</f>
        <v>0</v>
      </c>
      <c r="AE176" s="3">
        <f>((((AC176-AD176)/1000)*45366)*0.000001)*K6</f>
        <v>0</v>
      </c>
      <c r="AF176" s="2" t="s">
        <v>64</v>
      </c>
      <c r="AG176" s="2"/>
      <c r="AH176" s="2"/>
      <c r="AI176" s="2">
        <v>3</v>
      </c>
      <c r="AJ176" s="6" t="s">
        <v>91</v>
      </c>
      <c r="AK176" s="5"/>
      <c r="AL176" s="4"/>
      <c r="AM176" s="3" t="str">
        <f>IF(AL160=1,4.66171, IF(AL160=2, 8.1, IF(AL160=3, 8.95, IF(AL160=4, 7.51, IF(AL160=5, 4.51, IF(AL160=6, 2.57, IF(AL160=7, 0.496, IF(AL160=8, 0.496,""))))))))</f>
        <v/>
      </c>
      <c r="AN176" s="3" t="str">
        <f>IF((L$8=AJ176),AI176,"")</f>
        <v/>
      </c>
      <c r="AO176" s="3" t="str">
        <f>IFERROR(SMALL(AN$174:AN$176,AI176),"")</f>
        <v/>
      </c>
      <c r="AP176" s="3">
        <v>247</v>
      </c>
      <c r="AQ176" s="3" t="b">
        <f>IF(AO$174=AI176,L$10*(AP176*AM176))</f>
        <v>0</v>
      </c>
      <c r="AR176" s="3" t="b">
        <f>IF(AO$174=AI176,L$11*(AP176*AM176))</f>
        <v>0</v>
      </c>
      <c r="AS176" s="3">
        <f>((((AQ176-AR176)/1000)*45366)*0.000001)*L6</f>
        <v>0</v>
      </c>
      <c r="AT176" s="2" t="s">
        <v>64</v>
      </c>
      <c r="AU176" s="2"/>
      <c r="AW176" s="2">
        <v>3</v>
      </c>
      <c r="AX176" s="6" t="s">
        <v>91</v>
      </c>
      <c r="AY176" s="5"/>
      <c r="AZ176" s="4"/>
      <c r="BA176" s="3" t="str">
        <f>IF(AZ160=1,4.66171, IF(AZ160=2, 8.1, IF(AZ160=3, 8.95, IF(AZ160=4, 7.51, IF(AZ160=5, 4.51, IF(AZ160=6, 2.57, IF(AZ160=7, 0.496, IF(AZ160=8, 0.496,""))))))))</f>
        <v/>
      </c>
      <c r="BB176" s="3" t="str">
        <f>IF((M$8=AX176),AW176,"")</f>
        <v/>
      </c>
      <c r="BC176" s="3" t="str">
        <f>IFERROR(SMALL(BB$174:BB$176,AW176),"")</f>
        <v/>
      </c>
      <c r="BD176" s="3">
        <v>247</v>
      </c>
      <c r="BE176" s="3" t="b">
        <f>IF(BC$174=AW176,M$10*(BD176*BA176))</f>
        <v>0</v>
      </c>
      <c r="BF176" s="3" t="b">
        <f>IF(BC$174=AW176,M$11*(BD176*BA176))</f>
        <v>0</v>
      </c>
      <c r="BG176" s="3">
        <f>((((BE176-BF176)/1000)*45366)*0.000001)*M6</f>
        <v>0</v>
      </c>
      <c r="BH176" s="2" t="s">
        <v>64</v>
      </c>
      <c r="BK176" s="2">
        <v>3</v>
      </c>
      <c r="BL176" s="6" t="s">
        <v>91</v>
      </c>
      <c r="BM176" s="5"/>
      <c r="BN176" s="4"/>
      <c r="BO176" s="3" t="str">
        <f>IF(BN160=1,4.66171, IF(BN160=2, 8.1, IF(BN160=3, 8.95, IF(BN160=4, 7.51, IF(BN160=5, 4.51, IF(BN160=6, 2.57, IF(BN160=7, 0.496, IF(BN160=8, 0.496,""))))))))</f>
        <v/>
      </c>
      <c r="BP176" s="3" t="str">
        <f>IF((N$8=BL176),BK176,"")</f>
        <v/>
      </c>
      <c r="BQ176" s="3" t="str">
        <f>IFERROR(SMALL(BP$174:BP$176,BK176),"")</f>
        <v/>
      </c>
      <c r="BR176" s="3">
        <v>247</v>
      </c>
      <c r="BS176" s="3" t="b">
        <f>IF(BQ$174=BK176,N$10*(BR176*BO176))</f>
        <v>0</v>
      </c>
      <c r="BT176" s="3" t="b">
        <f>IF(BQ$174=BK176,N$11*(BR176*BO176))</f>
        <v>0</v>
      </c>
      <c r="BU176" s="3">
        <f>((((BS176-BT176)/1000)*45366)*0.000001)*N6</f>
        <v>0</v>
      </c>
      <c r="BV176" s="2">
        <v>3</v>
      </c>
      <c r="BW176" s="6" t="s">
        <v>91</v>
      </c>
      <c r="BX176" s="5"/>
      <c r="BY176" s="4"/>
      <c r="BZ176" s="3" t="str">
        <f>IF(BY160=1,4.66171, IF(BY160=2, 8.1, IF(BY160=3, 8.95, IF(BY160=4, 7.51, IF(BY160=5, 4.51, IF(BY160=6, 2.57, IF(BY160=7, 0.496, IF(BY160=8, 0.496,""))))))))</f>
        <v/>
      </c>
      <c r="CA176" s="3" t="str">
        <f>IF((O$8=BW176),BV176,"")</f>
        <v/>
      </c>
      <c r="CB176" s="3" t="str">
        <f>IFERROR(SMALL(CA$174:CA$176,BV176),"")</f>
        <v/>
      </c>
      <c r="CC176" s="3">
        <v>247</v>
      </c>
      <c r="CD176" s="3" t="b">
        <f>IF(CB$174=BV176,O$10*(CC176*BZ176))</f>
        <v>0</v>
      </c>
      <c r="CE176" s="3" t="b">
        <f>IF(CB$174=BV176,O$11*(CC176*BZ176))</f>
        <v>0</v>
      </c>
      <c r="CF176" s="3">
        <f>((((CD176-CE176)/1000)*45366)*0.000001)*O6</f>
        <v>0</v>
      </c>
      <c r="CG176" s="2" t="s">
        <v>64</v>
      </c>
    </row>
    <row r="177" spans="6:85">
      <c r="F177" s="2"/>
      <c r="G177" s="2"/>
      <c r="H177" s="2"/>
      <c r="I177" s="2"/>
      <c r="J177" s="2"/>
      <c r="K177" s="2"/>
      <c r="L177" s="2"/>
      <c r="M177" s="2"/>
      <c r="N177" s="2"/>
      <c r="O177" s="2"/>
      <c r="P177" s="2"/>
      <c r="Q177" s="2"/>
      <c r="R177" s="2"/>
      <c r="S177" s="2"/>
      <c r="U177" s="2"/>
      <c r="V177" s="2"/>
      <c r="W177" s="2"/>
      <c r="X177" s="2"/>
      <c r="Y177" s="2"/>
      <c r="Z177" s="2"/>
      <c r="AA177" s="2"/>
      <c r="AB177" s="2"/>
      <c r="AC177" s="2"/>
      <c r="AD177" s="2"/>
      <c r="AE177" s="2"/>
      <c r="AF177" s="2"/>
      <c r="AG177" s="2"/>
      <c r="AH177" s="2"/>
      <c r="AI177" s="2"/>
      <c r="AJ177" s="2"/>
      <c r="AK177" s="2"/>
      <c r="AL177" s="2"/>
      <c r="AM177" s="2"/>
      <c r="AN177" s="2"/>
      <c r="AO177" s="2"/>
      <c r="AP177" s="2"/>
      <c r="AQ177" s="2"/>
      <c r="AR177" s="2"/>
      <c r="AS177" s="2"/>
      <c r="AT177" s="2"/>
      <c r="AU177" s="2"/>
      <c r="AW177" s="2"/>
      <c r="AX177" s="2"/>
      <c r="AY177" s="2"/>
      <c r="AZ177" s="2"/>
      <c r="BA177" s="2"/>
      <c r="BB177" s="2"/>
      <c r="BC177" s="2"/>
      <c r="BD177" s="2"/>
      <c r="BE177" s="2"/>
      <c r="BF177" s="2"/>
      <c r="BG177" s="2"/>
      <c r="BH177" s="2"/>
      <c r="BK177" s="2"/>
      <c r="BL177" s="2"/>
      <c r="BM177" s="2"/>
      <c r="BN177" s="2"/>
      <c r="BO177" s="2"/>
      <c r="BP177" s="2"/>
      <c r="BQ177" s="2"/>
      <c r="BR177" s="2"/>
      <c r="BS177" s="2"/>
      <c r="BT177" s="2"/>
      <c r="BU177" s="2"/>
      <c r="BV177" s="2"/>
      <c r="BW177" s="2"/>
      <c r="BX177" s="2"/>
      <c r="BY177" s="2"/>
      <c r="BZ177" s="2"/>
      <c r="CA177" s="2"/>
      <c r="CB177" s="2"/>
      <c r="CC177" s="2"/>
      <c r="CD177" s="2"/>
      <c r="CE177" s="2"/>
      <c r="CF177" s="2"/>
      <c r="CG177" s="2"/>
    </row>
    <row r="178" spans="6:85">
      <c r="F178" s="2"/>
      <c r="G178" s="2"/>
      <c r="H178" s="2"/>
      <c r="I178" s="2"/>
      <c r="J178" s="2"/>
      <c r="K178" s="2"/>
      <c r="L178" s="2"/>
      <c r="M178" s="2"/>
      <c r="N178" s="2"/>
      <c r="O178" s="2"/>
      <c r="P178" s="2"/>
      <c r="Q178" s="2"/>
      <c r="R178" s="2"/>
      <c r="S178" s="2"/>
      <c r="U178" s="2"/>
      <c r="V178" s="2"/>
      <c r="W178" s="2"/>
      <c r="X178" s="2"/>
      <c r="Y178" s="2"/>
      <c r="Z178" s="2"/>
      <c r="AA178" s="2"/>
      <c r="AB178" s="2"/>
      <c r="AC178" s="2"/>
      <c r="AD178" s="2"/>
      <c r="AE178" s="2"/>
      <c r="AF178" s="2"/>
      <c r="AG178" s="2"/>
      <c r="AH178" s="2"/>
      <c r="AI178" s="2"/>
      <c r="AJ178" s="2"/>
      <c r="AK178" s="2"/>
      <c r="AL178" s="2"/>
      <c r="AM178" s="2"/>
      <c r="AN178" s="2"/>
      <c r="AO178" s="2"/>
      <c r="AP178" s="2"/>
      <c r="AQ178" s="2"/>
      <c r="AR178" s="2"/>
      <c r="AS178" s="2"/>
      <c r="AT178" s="2"/>
      <c r="AU178" s="2"/>
      <c r="AW178" s="2"/>
      <c r="AX178" s="2"/>
      <c r="AY178" s="2"/>
      <c r="AZ178" s="2"/>
      <c r="BA178" s="2"/>
      <c r="BB178" s="2"/>
      <c r="BC178" s="2"/>
      <c r="BD178" s="2"/>
      <c r="BE178" s="2"/>
      <c r="BF178" s="2"/>
      <c r="BG178" s="2"/>
      <c r="BH178" s="2"/>
      <c r="BK178" s="2"/>
      <c r="BL178" s="2"/>
      <c r="BM178" s="2"/>
      <c r="BN178" s="2"/>
      <c r="BO178" s="2"/>
      <c r="BP178" s="2"/>
      <c r="BQ178" s="2"/>
      <c r="BR178" s="2"/>
      <c r="BS178" s="2"/>
      <c r="BT178" s="2"/>
      <c r="BU178" s="2"/>
      <c r="BV178" s="2"/>
      <c r="BW178" s="2"/>
      <c r="BX178" s="2"/>
      <c r="BY178" s="2"/>
      <c r="BZ178" s="2"/>
      <c r="CA178" s="2"/>
      <c r="CB178" s="2"/>
      <c r="CC178" s="2"/>
      <c r="CD178" s="2"/>
      <c r="CE178" s="2"/>
      <c r="CF178" s="2"/>
      <c r="CG178" s="2"/>
    </row>
    <row r="179" spans="6:85">
      <c r="F179" s="2"/>
      <c r="G179" s="2"/>
      <c r="H179" s="2"/>
      <c r="I179" s="2"/>
      <c r="J179" s="12" t="s">
        <v>57</v>
      </c>
      <c r="K179" s="2" t="s">
        <v>58</v>
      </c>
      <c r="L179" s="2" t="s">
        <v>58</v>
      </c>
      <c r="M179" s="12" t="s">
        <v>59</v>
      </c>
      <c r="N179" s="2" t="s">
        <v>60</v>
      </c>
      <c r="O179" s="2" t="s">
        <v>61</v>
      </c>
      <c r="P179" s="2" t="s">
        <v>62</v>
      </c>
      <c r="Q179" s="2"/>
      <c r="R179" s="2"/>
      <c r="S179" s="2"/>
      <c r="U179" s="2"/>
      <c r="V179" s="2"/>
      <c r="W179" s="2"/>
      <c r="X179" s="2"/>
      <c r="Y179" s="12" t="s">
        <v>57</v>
      </c>
      <c r="Z179" s="2" t="s">
        <v>58</v>
      </c>
      <c r="AA179" s="2" t="s">
        <v>58</v>
      </c>
      <c r="AB179" s="12" t="s">
        <v>59</v>
      </c>
      <c r="AC179" s="2" t="s">
        <v>60</v>
      </c>
      <c r="AD179" s="2" t="s">
        <v>61</v>
      </c>
      <c r="AE179" s="2" t="s">
        <v>62</v>
      </c>
      <c r="AF179" s="2"/>
      <c r="AG179" s="2"/>
      <c r="AH179" s="2"/>
      <c r="AI179" s="2"/>
      <c r="AJ179" s="2"/>
      <c r="AK179" s="2"/>
      <c r="AL179" s="2"/>
      <c r="AM179" s="12" t="s">
        <v>57</v>
      </c>
      <c r="AN179" s="2" t="s">
        <v>58</v>
      </c>
      <c r="AO179" s="2" t="s">
        <v>58</v>
      </c>
      <c r="AP179" s="12" t="s">
        <v>59</v>
      </c>
      <c r="AQ179" s="2" t="s">
        <v>60</v>
      </c>
      <c r="AR179" s="2" t="s">
        <v>61</v>
      </c>
      <c r="AS179" s="2" t="s">
        <v>62</v>
      </c>
      <c r="AT179" s="2"/>
      <c r="AU179" s="2"/>
      <c r="AW179" s="2"/>
      <c r="AX179" s="2"/>
      <c r="AY179" s="2"/>
      <c r="AZ179" s="2"/>
      <c r="BA179" s="12" t="s">
        <v>57</v>
      </c>
      <c r="BB179" s="2" t="s">
        <v>58</v>
      </c>
      <c r="BC179" s="2" t="s">
        <v>58</v>
      </c>
      <c r="BD179" s="12" t="s">
        <v>59</v>
      </c>
      <c r="BE179" s="2" t="s">
        <v>60</v>
      </c>
      <c r="BF179" s="2" t="s">
        <v>61</v>
      </c>
      <c r="BG179" s="2" t="s">
        <v>62</v>
      </c>
      <c r="BH179" s="2"/>
      <c r="BK179" s="2"/>
      <c r="BL179" s="2"/>
      <c r="BM179" s="2"/>
      <c r="BN179" s="2"/>
      <c r="BO179" s="12" t="s">
        <v>57</v>
      </c>
      <c r="BP179" s="2" t="s">
        <v>58</v>
      </c>
      <c r="BQ179" s="2" t="s">
        <v>58</v>
      </c>
      <c r="BR179" s="12" t="s">
        <v>59</v>
      </c>
      <c r="BS179" s="2" t="s">
        <v>60</v>
      </c>
      <c r="BT179" s="2" t="s">
        <v>61</v>
      </c>
      <c r="BU179" s="2" t="s">
        <v>62</v>
      </c>
      <c r="BV179" s="2"/>
      <c r="BW179" s="2"/>
      <c r="BX179" s="2"/>
      <c r="BY179" s="2"/>
      <c r="BZ179" s="12" t="s">
        <v>57</v>
      </c>
      <c r="CA179" s="2" t="s">
        <v>58</v>
      </c>
      <c r="CB179" s="2" t="s">
        <v>58</v>
      </c>
      <c r="CC179" s="12" t="s">
        <v>59</v>
      </c>
      <c r="CD179" s="2" t="s">
        <v>60</v>
      </c>
      <c r="CE179" s="2" t="s">
        <v>61</v>
      </c>
      <c r="CF179" s="2" t="s">
        <v>62</v>
      </c>
      <c r="CG179" s="2"/>
    </row>
    <row r="180" spans="6:85">
      <c r="F180" s="11">
        <v>1</v>
      </c>
      <c r="G180" s="10" t="s">
        <v>89</v>
      </c>
      <c r="H180" s="9"/>
      <c r="I180" s="8"/>
      <c r="J180" s="13"/>
      <c r="K180" s="7" t="str">
        <f>IF((J$8=G180),F180,"")</f>
        <v/>
      </c>
      <c r="L180" s="7" t="str">
        <f>IFERROR(SMALL(K$180:K$182,F180),"")</f>
        <v/>
      </c>
      <c r="M180" s="7">
        <v>495</v>
      </c>
      <c r="N180" s="7"/>
      <c r="O180" s="7"/>
      <c r="P180" s="7" t="s">
        <v>92</v>
      </c>
      <c r="Q180" s="2"/>
      <c r="R180" s="2"/>
      <c r="S180" s="2"/>
      <c r="U180" s="11">
        <v>1</v>
      </c>
      <c r="V180" s="10" t="s">
        <v>89</v>
      </c>
      <c r="W180" s="9"/>
      <c r="X180" s="8"/>
      <c r="Y180" s="13"/>
      <c r="Z180" s="7" t="str">
        <f>IF((K$8=V180),U180,"")</f>
        <v/>
      </c>
      <c r="AA180" s="7" t="str">
        <f>IFERROR(SMALL(Z$180:Z$182,U180),"")</f>
        <v/>
      </c>
      <c r="AB180" s="7">
        <v>495</v>
      </c>
      <c r="AC180" s="7"/>
      <c r="AD180" s="7"/>
      <c r="AE180" s="7" t="s">
        <v>92</v>
      </c>
      <c r="AF180" s="2"/>
      <c r="AG180" s="2"/>
      <c r="AH180" s="2"/>
      <c r="AI180" s="11">
        <v>1</v>
      </c>
      <c r="AJ180" s="10" t="s">
        <v>89</v>
      </c>
      <c r="AK180" s="9"/>
      <c r="AL180" s="8"/>
      <c r="AM180" s="13"/>
      <c r="AN180" s="7" t="str">
        <f>IF((L$8=AJ180),AI180,"")</f>
        <v/>
      </c>
      <c r="AO180" s="7" t="str">
        <f>IFERROR(SMALL(AN$180:AN$182,AI180),"")</f>
        <v/>
      </c>
      <c r="AP180" s="7">
        <v>495</v>
      </c>
      <c r="AQ180" s="7"/>
      <c r="AR180" s="7"/>
      <c r="AS180" s="7" t="s">
        <v>92</v>
      </c>
      <c r="AT180" s="2"/>
      <c r="AU180" s="2"/>
      <c r="AW180" s="11">
        <v>1</v>
      </c>
      <c r="AX180" s="10" t="s">
        <v>89</v>
      </c>
      <c r="AY180" s="9"/>
      <c r="AZ180" s="8"/>
      <c r="BA180" s="13"/>
      <c r="BB180" s="7" t="str">
        <f>IF((M$8=AX180),AW180,"")</f>
        <v/>
      </c>
      <c r="BC180" s="7" t="str">
        <f>IFERROR(SMALL(BB$180:BB$182,AW180),"")</f>
        <v/>
      </c>
      <c r="BD180" s="7">
        <v>495</v>
      </c>
      <c r="BE180" s="7"/>
      <c r="BF180" s="7"/>
      <c r="BG180" s="7" t="s">
        <v>92</v>
      </c>
      <c r="BH180" s="2"/>
      <c r="BK180" s="11">
        <v>1</v>
      </c>
      <c r="BL180" s="10" t="s">
        <v>89</v>
      </c>
      <c r="BM180" s="9"/>
      <c r="BN180" s="8"/>
      <c r="BO180" s="13"/>
      <c r="BP180" s="7" t="str">
        <f>IF((N$8=BL180),BK180,"")</f>
        <v/>
      </c>
      <c r="BQ180" s="7" t="str">
        <f>IFERROR(SMALL(BP$180:BP$182,BK180),"")</f>
        <v/>
      </c>
      <c r="BR180" s="7">
        <v>495</v>
      </c>
      <c r="BS180" s="7"/>
      <c r="BT180" s="7"/>
      <c r="BU180" s="7" t="s">
        <v>92</v>
      </c>
      <c r="BV180" s="11">
        <v>1</v>
      </c>
      <c r="BW180" s="10" t="s">
        <v>89</v>
      </c>
      <c r="BX180" s="9"/>
      <c r="BY180" s="8"/>
      <c r="BZ180" s="13"/>
      <c r="CA180" s="7" t="str">
        <f>IF((O$8=BW180),BV180,"")</f>
        <v/>
      </c>
      <c r="CB180" s="7" t="str">
        <f>IFERROR(SMALL(CA$180:CA$182,BV180),"")</f>
        <v/>
      </c>
      <c r="CC180" s="7">
        <v>495</v>
      </c>
      <c r="CD180" s="7"/>
      <c r="CE180" s="7"/>
      <c r="CF180" s="7" t="s">
        <v>92</v>
      </c>
      <c r="CG180" s="2"/>
    </row>
    <row r="181" spans="6:85">
      <c r="F181" s="2">
        <v>2</v>
      </c>
      <c r="G181" s="6" t="s">
        <v>90</v>
      </c>
      <c r="H181" s="5"/>
      <c r="I181" s="4"/>
      <c r="J181" s="3" t="str">
        <f>IF(I160=1,0.0058, IF(I160=2, 0.0029, IF(I160=3, 0.0029, IF(I160=4,0.0029, IF(I160=5, 0.0029, IF(I160=6, 0.011, IF(I160=7, 0.009, IF(I160=8, 0.009,""))))))))</f>
        <v/>
      </c>
      <c r="K181" s="3" t="str">
        <f>IF((J$8=G181),F181,"")</f>
        <v/>
      </c>
      <c r="L181" s="3" t="str">
        <f>IFERROR(SMALL(K$180:K$182,F181),"")</f>
        <v/>
      </c>
      <c r="M181" s="3">
        <v>301</v>
      </c>
      <c r="N181" s="3" t="b">
        <f>IF(L$180=F181,J$10*(M181*J181))</f>
        <v>0</v>
      </c>
      <c r="O181" s="3" t="b">
        <f>IF(L$180=F181,J$11*(M181*J181))</f>
        <v>0</v>
      </c>
      <c r="P181" s="3">
        <f>((((N181-O181)/1000)*45366)*0.000001)*J6</f>
        <v>0</v>
      </c>
      <c r="Q181" s="2" t="s">
        <v>64</v>
      </c>
      <c r="R181" s="2"/>
      <c r="S181" s="2"/>
      <c r="U181" s="2">
        <v>2</v>
      </c>
      <c r="V181" s="6" t="s">
        <v>90</v>
      </c>
      <c r="W181" s="5"/>
      <c r="X181" s="4"/>
      <c r="Y181" s="3">
        <f>IF(X160=1,0.0058, IF(X160=2, 0.0029, IF(X160=3, 0.0029, IF(X160=4,0.0029, IF(X160=5, 0.0029, IF(X160=6, 0.011, IF(X160=7, 0.009, IF(X160=8, 0.009,""))))))))</f>
        <v>5.7999999999999996E-3</v>
      </c>
      <c r="Z181" s="3" t="str">
        <f>IF((K$8=V181),U181,"")</f>
        <v/>
      </c>
      <c r="AA181" s="3" t="str">
        <f>IFERROR(SMALL(Z$180:Z$182,U181),"")</f>
        <v/>
      </c>
      <c r="AB181" s="3">
        <v>301</v>
      </c>
      <c r="AC181" s="3" t="b">
        <f>IF(AA$180=U181,K$10*(AB181*Y181))</f>
        <v>0</v>
      </c>
      <c r="AD181" s="3" t="b">
        <f>IF(AA$180=U181,K$11*(AB181*Y181))</f>
        <v>0</v>
      </c>
      <c r="AE181" s="3">
        <f>((((AC181-AD181)/1000)*45366)*0.000001)*K6</f>
        <v>0</v>
      </c>
      <c r="AF181" s="2" t="s">
        <v>64</v>
      </c>
      <c r="AG181" s="2"/>
      <c r="AH181" s="2"/>
      <c r="AI181" s="2">
        <v>2</v>
      </c>
      <c r="AJ181" s="6" t="s">
        <v>90</v>
      </c>
      <c r="AK181" s="5"/>
      <c r="AL181" s="4"/>
      <c r="AM181" s="3" t="str">
        <f>IF(AL160=1,0.0058, IF(AL160=2, 0.0029, IF(AL160=3, 0.0029, IF(AL160=4,0.0029, IF(AL160=5, 0.0029, IF(AL160=6, 0.011, IF(AL160=7, 0.009, IF(AL160=8, 0.009,""))))))))</f>
        <v/>
      </c>
      <c r="AN181" s="3" t="str">
        <f>IF((L$8=AJ181),AI181,"")</f>
        <v/>
      </c>
      <c r="AO181" s="3" t="str">
        <f>IFERROR(SMALL(AN$180:AN$182,AI181),"")</f>
        <v/>
      </c>
      <c r="AP181" s="3">
        <v>301</v>
      </c>
      <c r="AQ181" s="3" t="b">
        <f>IF(AO$180=AI181,L$10*(AP181*AM181))</f>
        <v>0</v>
      </c>
      <c r="AR181" s="3" t="b">
        <f>IF(AO$180=AI181,L$11*(AP181*AM181))</f>
        <v>0</v>
      </c>
      <c r="AS181" s="3">
        <f>((((AQ181-AR181)/1000)*45366)*0.000001)*L6</f>
        <v>0</v>
      </c>
      <c r="AT181" s="2" t="s">
        <v>64</v>
      </c>
      <c r="AU181" s="2"/>
      <c r="AW181" s="2">
        <v>2</v>
      </c>
      <c r="AX181" s="6" t="s">
        <v>90</v>
      </c>
      <c r="AY181" s="5"/>
      <c r="AZ181" s="4"/>
      <c r="BA181" s="3" t="str">
        <f>IF(AZ160=1,0.0058, IF(AZ160=2, 0.0029, IF(AZ160=3, 0.0029, IF(AZ160=4,0.0029, IF(AZ160=5, 0.0029, IF(AZ160=6, 0.011, IF(AZ160=7, 0.009, IF(AZ160=8, 0.009,""))))))))</f>
        <v/>
      </c>
      <c r="BB181" s="3" t="str">
        <f>IF((M$8=AX181),AW181,"")</f>
        <v/>
      </c>
      <c r="BC181" s="3" t="str">
        <f>IFERROR(SMALL(BB$180:BB$182,AW181),"")</f>
        <v/>
      </c>
      <c r="BD181" s="3">
        <v>301</v>
      </c>
      <c r="BE181" s="3" t="b">
        <f>IF(BC$180=AW181,M$10*(BD181*BA181))</f>
        <v>0</v>
      </c>
      <c r="BF181" s="3" t="b">
        <f>IF(BC$180=AW181,M$11*(BD181*BA181))</f>
        <v>0</v>
      </c>
      <c r="BG181" s="3">
        <f>((((BE181-BF181)/1000)*45366)*0.000001)*M6</f>
        <v>0</v>
      </c>
      <c r="BH181" s="2" t="s">
        <v>64</v>
      </c>
      <c r="BK181" s="2">
        <v>2</v>
      </c>
      <c r="BL181" s="6" t="s">
        <v>90</v>
      </c>
      <c r="BM181" s="5"/>
      <c r="BN181" s="4"/>
      <c r="BO181" s="3" t="str">
        <f>IF(BN160=1,0.0058, IF(BN160=2, 0.0029, IF(BN160=3, 0.0029, IF(BN160=4,0.0029, IF(BN160=5, 0.0029, IF(BN160=6, 0.011, IF(BN160=7, 0.009, IF(BN160=8, 0.009,""))))))))</f>
        <v/>
      </c>
      <c r="BP181" s="3" t="str">
        <f>IF((N$8=BL181),BK181,"")</f>
        <v/>
      </c>
      <c r="BQ181" s="3" t="str">
        <f>IFERROR(SMALL(BP$180:BP$182,BK181),"")</f>
        <v/>
      </c>
      <c r="BR181" s="3">
        <v>301</v>
      </c>
      <c r="BS181" s="3" t="b">
        <f>IF(BQ$180=BK181,N$10*(BR181*BO181))</f>
        <v>0</v>
      </c>
      <c r="BT181" s="3" t="b">
        <f>IF(BQ$180=BK181,N$11*(BR181*BO181))</f>
        <v>0</v>
      </c>
      <c r="BU181" s="3">
        <f>((((BS181-BT181)/1000)*45366)*0.000001)*N6</f>
        <v>0</v>
      </c>
      <c r="BV181" s="2">
        <v>2</v>
      </c>
      <c r="BW181" s="6" t="s">
        <v>90</v>
      </c>
      <c r="BX181" s="5"/>
      <c r="BY181" s="4"/>
      <c r="BZ181" s="3" t="str">
        <f>IF(BY160=1,0.0058, IF(BY160=2, 0.0029, IF(BY160=3, 0.0029, IF(BY160=4,0.0029, IF(BY160=5, 0.0029, IF(BY160=6, 0.011, IF(BY160=7, 0.009, IF(BY160=8, 0.009,""))))))))</f>
        <v/>
      </c>
      <c r="CA181" s="3" t="str">
        <f>IF((O$8=BW181),BV181,"")</f>
        <v/>
      </c>
      <c r="CB181" s="3" t="str">
        <f>IFERROR(SMALL(CA$180:CA$182,BV181),"")</f>
        <v/>
      </c>
      <c r="CC181" s="3">
        <v>301</v>
      </c>
      <c r="CD181" s="3" t="b">
        <f>IF(CB$180=BV181,O$10*(CC181*BZ181))</f>
        <v>0</v>
      </c>
      <c r="CE181" s="3" t="b">
        <f>IF(CB$180=BV181,O$11*(CC181*BZ181))</f>
        <v>0</v>
      </c>
      <c r="CF181" s="3">
        <f>((((CD181-CE181)/1000)*45366)*0.000001)*O6</f>
        <v>0</v>
      </c>
      <c r="CG181" s="2" t="s">
        <v>64</v>
      </c>
    </row>
    <row r="182" spans="6:85">
      <c r="F182" s="2">
        <v>3</v>
      </c>
      <c r="G182" s="6" t="s">
        <v>91</v>
      </c>
      <c r="H182" s="5"/>
      <c r="I182" s="4"/>
      <c r="J182" s="3" t="str">
        <f>IF(I160=1,0.0058, IF(I160=2, 0.0029, IF(I160=3, 0.0029, IF(I160=4, 0.0029, IF(I160=5, 0.0029, IF(I160=6, 0.011, IF(I160=7, 0.009, IF(I160=8, 0.009, ""))))))))</f>
        <v/>
      </c>
      <c r="K182" s="3" t="str">
        <f>IF((J$8=G182),F182,"")</f>
        <v/>
      </c>
      <c r="L182" s="3" t="str">
        <f>IFERROR(SMALL(K$180:K$182,F182),"")</f>
        <v/>
      </c>
      <c r="M182" s="3">
        <v>247</v>
      </c>
      <c r="N182" s="3" t="b">
        <f>IF(L$180=F182,J$10*(M182*J182))</f>
        <v>0</v>
      </c>
      <c r="O182" s="3" t="b">
        <f>IF(L$180=F182,J$11*(M182*J182))</f>
        <v>0</v>
      </c>
      <c r="P182" s="3">
        <f>((((N182-O182)/1000)*45366)*0.000001)*J6</f>
        <v>0</v>
      </c>
      <c r="Q182" s="2" t="s">
        <v>64</v>
      </c>
      <c r="R182" s="2"/>
      <c r="S182" s="2"/>
      <c r="U182" s="2">
        <v>3</v>
      </c>
      <c r="V182" s="6" t="s">
        <v>91</v>
      </c>
      <c r="W182" s="5"/>
      <c r="X182" s="4"/>
      <c r="Y182" s="3">
        <f>IF(X160=1,0.0058, IF(X160=2, 0.0029, IF(X160=3, 0.0029, IF(X160=4, 0.0029, IF(X160=5, 0.0029, IF(X160=6, 0.011, IF(X160=7, 0.009, IF(X160=8, 0.009, ""))))))))</f>
        <v>5.7999999999999996E-3</v>
      </c>
      <c r="Z182" s="3" t="str">
        <f>IF((K$8=V182),U182,"")</f>
        <v/>
      </c>
      <c r="AA182" s="3" t="str">
        <f>IFERROR(SMALL(Z$180:Z$182,U182),"")</f>
        <v/>
      </c>
      <c r="AB182" s="3">
        <v>247</v>
      </c>
      <c r="AC182" s="3" t="b">
        <f>IF(AA$180=U182,K$10*(AB182*Y182))</f>
        <v>0</v>
      </c>
      <c r="AD182" s="3" t="b">
        <f>IF(AA$180=U182,K$11*(AB182*Y182))</f>
        <v>0</v>
      </c>
      <c r="AE182" s="3">
        <f>((((AC182-AD182)/1000)*45366)*0.000001)*K6</f>
        <v>0</v>
      </c>
      <c r="AF182" s="2" t="s">
        <v>64</v>
      </c>
      <c r="AG182" s="2"/>
      <c r="AH182" s="2"/>
      <c r="AI182" s="2">
        <v>3</v>
      </c>
      <c r="AJ182" s="6" t="s">
        <v>91</v>
      </c>
      <c r="AK182" s="5"/>
      <c r="AL182" s="4"/>
      <c r="AM182" s="3" t="str">
        <f>IF(AL160=1,0.0058, IF(AL160=2, 0.0029, IF(AL160=3, 0.0029, IF(AL160=4, 0.0029, IF(AL160=5, 0.0029, IF(AL160=6, 0.011, IF(AL160=7, 0.009, IF(AL160=8, 0.009, ""))))))))</f>
        <v/>
      </c>
      <c r="AN182" s="3" t="str">
        <f>IF((L$8=AJ182),AI182,"")</f>
        <v/>
      </c>
      <c r="AO182" s="3" t="str">
        <f>IFERROR(SMALL(AN$180:AN$182,AI182),"")</f>
        <v/>
      </c>
      <c r="AP182" s="3">
        <v>247</v>
      </c>
      <c r="AQ182" s="3" t="b">
        <f>IF(AO$180=AI182,L$10*(AP182*AM182))</f>
        <v>0</v>
      </c>
      <c r="AR182" s="3" t="b">
        <f>IF(AO$180=AI182,L$11*(AP182*AM182))</f>
        <v>0</v>
      </c>
      <c r="AS182" s="3">
        <f>((((AQ182-AR182)/1000)*45366)*0.000001)*L6</f>
        <v>0</v>
      </c>
      <c r="AT182" s="2" t="s">
        <v>64</v>
      </c>
      <c r="AU182" s="2"/>
      <c r="AW182" s="2">
        <v>3</v>
      </c>
      <c r="AX182" s="6" t="s">
        <v>91</v>
      </c>
      <c r="AY182" s="5"/>
      <c r="AZ182" s="4"/>
      <c r="BA182" s="3" t="str">
        <f>IF(AZ160=1,0.0058, IF(AZ160=2, 0.0029, IF(AZ160=3, 0.0029, IF(AZ160=4, 0.0029, IF(AZ160=5, 0.0029, IF(AZ160=6, 0.011, IF(AZ160=7, 0.009, IF(AZ160=8, 0.009, ""))))))))</f>
        <v/>
      </c>
      <c r="BB182" s="3" t="str">
        <f>IF((M$8=AX182),AW182,"")</f>
        <v/>
      </c>
      <c r="BC182" s="3" t="str">
        <f>IFERROR(SMALL(BB$180:BB$182,AW182),"")</f>
        <v/>
      </c>
      <c r="BD182" s="3">
        <v>247</v>
      </c>
      <c r="BE182" s="3" t="b">
        <f>IF(BC$180=AW182,M$10*(BD182*BA182))</f>
        <v>0</v>
      </c>
      <c r="BF182" s="3" t="b">
        <f>IF(BC$180=AW182,M$11*(BD182*BA182))</f>
        <v>0</v>
      </c>
      <c r="BG182" s="3">
        <f>((((BE182-BF182)/1000)*45366)*0.000001)*M6</f>
        <v>0</v>
      </c>
      <c r="BH182" s="2" t="s">
        <v>64</v>
      </c>
      <c r="BK182" s="2">
        <v>3</v>
      </c>
      <c r="BL182" s="6" t="s">
        <v>91</v>
      </c>
      <c r="BM182" s="5"/>
      <c r="BN182" s="4"/>
      <c r="BO182" s="3" t="str">
        <f>IF(BN160=1,0.0058, IF(BN160=2, 0.0029, IF(BN160=3, 0.0029, IF(BN160=4, 0.0029, IF(BN160=5, 0.0029, IF(BN160=6, 0.011, IF(BN160=7, 0.009, IF(BN160=8, 0.009, ""))))))))</f>
        <v/>
      </c>
      <c r="BP182" s="3" t="str">
        <f>IF((N$8=BL182),BK182,"")</f>
        <v/>
      </c>
      <c r="BQ182" s="3" t="str">
        <f>IFERROR(SMALL(BP$180:BP$182,BK182),"")</f>
        <v/>
      </c>
      <c r="BR182" s="3">
        <v>247</v>
      </c>
      <c r="BS182" s="3" t="b">
        <f>IF(BQ$180=BK182,N$10*(BR182*BO182))</f>
        <v>0</v>
      </c>
      <c r="BT182" s="3" t="b">
        <f>IF(BQ$180=BK182,N$11*(BR182*BO182))</f>
        <v>0</v>
      </c>
      <c r="BU182" s="3">
        <f>((((BS182-BT182)/1000)*45366)*0.000001)*N6</f>
        <v>0</v>
      </c>
      <c r="BV182" s="2">
        <v>3</v>
      </c>
      <c r="BW182" s="6" t="s">
        <v>91</v>
      </c>
      <c r="BX182" s="5"/>
      <c r="BY182" s="4"/>
      <c r="BZ182" s="3" t="str">
        <f>IF(BY160=1,0.0058, IF(BY160=2, 0.0029, IF(BY160=3, 0.0029, IF(BY160=4, 0.0029, IF(BY160=5, 0.0029, IF(BY160=6, 0.011, IF(BY160=7, 0.009, IF(BY160=8, 0.009, ""))))))))</f>
        <v/>
      </c>
      <c r="CA182" s="3" t="str">
        <f>IF((O$8=BW182),BV182,"")</f>
        <v/>
      </c>
      <c r="CB182" s="3" t="str">
        <f>IFERROR(SMALL(CA$180:CA$182,BV182),"")</f>
        <v/>
      </c>
      <c r="CC182" s="3">
        <v>247</v>
      </c>
      <c r="CD182" s="3" t="b">
        <f>IF(CB$180=BV182,O$10*(CC182*BZ182))</f>
        <v>0</v>
      </c>
      <c r="CE182" s="3" t="b">
        <f>IF(CB$180=BV182,O$11*(CC182*BZ182))</f>
        <v>0</v>
      </c>
      <c r="CF182" s="3">
        <f>((((CD182-CE182)/1000)*45366)*0.000001)*O6</f>
        <v>0</v>
      </c>
      <c r="CG182" s="2" t="s">
        <v>64</v>
      </c>
    </row>
    <row r="183" spans="6:85">
      <c r="F183" s="2"/>
      <c r="G183" s="2"/>
      <c r="H183" s="2"/>
      <c r="I183" s="2"/>
      <c r="J183" s="2"/>
      <c r="K183" s="2"/>
      <c r="L183" s="2"/>
      <c r="M183" s="2"/>
      <c r="N183" s="2"/>
      <c r="O183" s="2"/>
      <c r="P183" s="2"/>
      <c r="Q183" s="2"/>
      <c r="R183" s="2"/>
      <c r="S183" s="2"/>
      <c r="U183" s="2"/>
      <c r="V183" s="2"/>
      <c r="W183" s="2"/>
      <c r="X183" s="2"/>
      <c r="Y183" s="2"/>
      <c r="Z183" s="2"/>
      <c r="AA183" s="2"/>
      <c r="AB183" s="2"/>
      <c r="AC183" s="2"/>
      <c r="AD183" s="2"/>
      <c r="AE183" s="2"/>
      <c r="AF183" s="2"/>
      <c r="AG183" s="2"/>
      <c r="AH183" s="2"/>
      <c r="AI183" s="2"/>
      <c r="AJ183" s="2"/>
      <c r="AK183" s="2"/>
      <c r="AL183" s="2"/>
      <c r="AM183" s="2"/>
      <c r="AN183" s="2"/>
      <c r="AO183" s="2"/>
      <c r="AP183" s="2"/>
      <c r="AQ183" s="2"/>
      <c r="AR183" s="2"/>
      <c r="AS183" s="2"/>
      <c r="AT183" s="2"/>
      <c r="AU183" s="2"/>
      <c r="AW183" s="2"/>
      <c r="AX183" s="2"/>
      <c r="AY183" s="2"/>
      <c r="AZ183" s="2"/>
      <c r="BA183" s="2"/>
      <c r="BB183" s="2"/>
      <c r="BC183" s="2"/>
      <c r="BD183" s="2"/>
      <c r="BE183" s="2"/>
      <c r="BF183" s="2"/>
      <c r="BG183" s="2"/>
      <c r="BH183" s="2"/>
      <c r="BK183" s="2"/>
      <c r="BL183" s="2"/>
      <c r="BM183" s="2"/>
      <c r="BN183" s="2"/>
      <c r="BO183" s="2"/>
      <c r="BP183" s="2"/>
      <c r="BQ183" s="2"/>
      <c r="BR183" s="2"/>
      <c r="BS183" s="2"/>
      <c r="BT183" s="2"/>
      <c r="BU183" s="2"/>
      <c r="BV183" s="2"/>
      <c r="BW183" s="2"/>
      <c r="BX183" s="2"/>
      <c r="BY183" s="2"/>
      <c r="BZ183" s="2"/>
      <c r="CA183" s="2"/>
      <c r="CB183" s="2"/>
      <c r="CC183" s="2"/>
      <c r="CD183" s="2"/>
      <c r="CE183" s="2"/>
      <c r="CF183" s="2"/>
      <c r="CG183" s="2"/>
    </row>
    <row r="184" spans="6:85">
      <c r="F184" s="2"/>
      <c r="G184" s="2"/>
      <c r="H184" s="2"/>
      <c r="I184" s="2"/>
      <c r="J184" s="12" t="s">
        <v>71</v>
      </c>
      <c r="K184" s="2" t="s">
        <v>58</v>
      </c>
      <c r="L184" s="2" t="s">
        <v>58</v>
      </c>
      <c r="M184" s="12" t="s">
        <v>59</v>
      </c>
      <c r="N184" s="2" t="s">
        <v>60</v>
      </c>
      <c r="O184" s="2" t="s">
        <v>61</v>
      </c>
      <c r="P184" s="2" t="s">
        <v>62</v>
      </c>
      <c r="Q184" s="2"/>
      <c r="R184" s="2"/>
      <c r="S184" s="2"/>
      <c r="U184" s="2"/>
      <c r="V184" s="2"/>
      <c r="W184" s="2"/>
      <c r="X184" s="2"/>
      <c r="Y184" s="12" t="s">
        <v>71</v>
      </c>
      <c r="Z184" s="2" t="s">
        <v>58</v>
      </c>
      <c r="AA184" s="2" t="s">
        <v>58</v>
      </c>
      <c r="AB184" s="12" t="s">
        <v>59</v>
      </c>
      <c r="AC184" s="2" t="s">
        <v>60</v>
      </c>
      <c r="AD184" s="2" t="s">
        <v>61</v>
      </c>
      <c r="AE184" s="2" t="s">
        <v>62</v>
      </c>
      <c r="AF184" s="2"/>
      <c r="AG184" s="2"/>
      <c r="AH184" s="2"/>
      <c r="AI184" s="2"/>
      <c r="AJ184" s="2"/>
      <c r="AK184" s="2"/>
      <c r="AL184" s="2"/>
      <c r="AM184" s="12" t="s">
        <v>71</v>
      </c>
      <c r="AN184" s="2" t="s">
        <v>58</v>
      </c>
      <c r="AO184" s="2" t="s">
        <v>58</v>
      </c>
      <c r="AP184" s="12" t="s">
        <v>59</v>
      </c>
      <c r="AQ184" s="2" t="s">
        <v>60</v>
      </c>
      <c r="AR184" s="2" t="s">
        <v>61</v>
      </c>
      <c r="AS184" s="2" t="s">
        <v>62</v>
      </c>
      <c r="AT184" s="2"/>
      <c r="AU184" s="2"/>
      <c r="AW184" s="2"/>
      <c r="AX184" s="2"/>
      <c r="AY184" s="2"/>
      <c r="AZ184" s="2"/>
      <c r="BA184" s="12" t="s">
        <v>71</v>
      </c>
      <c r="BB184" s="2" t="s">
        <v>58</v>
      </c>
      <c r="BC184" s="2" t="s">
        <v>58</v>
      </c>
      <c r="BD184" s="12" t="s">
        <v>59</v>
      </c>
      <c r="BE184" s="2" t="s">
        <v>60</v>
      </c>
      <c r="BF184" s="2" t="s">
        <v>61</v>
      </c>
      <c r="BG184" s="2" t="s">
        <v>62</v>
      </c>
      <c r="BH184" s="2"/>
      <c r="BK184" s="2"/>
      <c r="BL184" s="2"/>
      <c r="BM184" s="2"/>
      <c r="BN184" s="2"/>
      <c r="BO184" s="12" t="s">
        <v>71</v>
      </c>
      <c r="BP184" s="2" t="s">
        <v>58</v>
      </c>
      <c r="BQ184" s="2" t="s">
        <v>58</v>
      </c>
      <c r="BR184" s="12" t="s">
        <v>59</v>
      </c>
      <c r="BS184" s="2" t="s">
        <v>60</v>
      </c>
      <c r="BT184" s="2" t="s">
        <v>61</v>
      </c>
      <c r="BU184" s="2" t="s">
        <v>62</v>
      </c>
      <c r="BV184" s="2"/>
      <c r="BW184" s="2"/>
      <c r="BX184" s="2"/>
      <c r="BY184" s="2"/>
      <c r="BZ184" s="12" t="s">
        <v>71</v>
      </c>
      <c r="CA184" s="2" t="s">
        <v>58</v>
      </c>
      <c r="CB184" s="2" t="s">
        <v>58</v>
      </c>
      <c r="CC184" s="12" t="s">
        <v>59</v>
      </c>
      <c r="CD184" s="2" t="s">
        <v>60</v>
      </c>
      <c r="CE184" s="2" t="s">
        <v>61</v>
      </c>
      <c r="CF184" s="2" t="s">
        <v>62</v>
      </c>
      <c r="CG184" s="2"/>
    </row>
    <row r="185" spans="6:85">
      <c r="F185" s="11">
        <v>1</v>
      </c>
      <c r="G185" s="10" t="s">
        <v>89</v>
      </c>
      <c r="H185" s="9"/>
      <c r="I185" s="8"/>
      <c r="J185" s="7">
        <v>1.125E-2</v>
      </c>
      <c r="K185" s="7" t="str">
        <f>IF((J$8=G185),F185,"")</f>
        <v/>
      </c>
      <c r="L185" s="7" t="str">
        <f>IFERROR(SMALL(K$185:K$187,F185),"")</f>
        <v/>
      </c>
      <c r="M185" s="7">
        <v>495</v>
      </c>
      <c r="N185" s="7" t="b">
        <f>IF(L$185=F185,J$10*(M185*J185))</f>
        <v>0</v>
      </c>
      <c r="O185" s="7" t="b">
        <f>IF(L$185=F185,J$11*(M185*J185))</f>
        <v>0</v>
      </c>
      <c r="P185" s="7">
        <f>N185-O185</f>
        <v>0</v>
      </c>
      <c r="Q185" s="2"/>
      <c r="R185" s="2"/>
      <c r="S185" s="2"/>
      <c r="U185" s="11">
        <v>1</v>
      </c>
      <c r="V185" s="10" t="s">
        <v>89</v>
      </c>
      <c r="W185" s="9"/>
      <c r="X185" s="8"/>
      <c r="Y185" s="7">
        <v>1.125E-2</v>
      </c>
      <c r="Z185" s="7" t="str">
        <f>IF((K$8=V185),U185,"")</f>
        <v/>
      </c>
      <c r="AA185" s="7" t="str">
        <f>IFERROR(SMALL(Z$185:Z$187,U185),"")</f>
        <v/>
      </c>
      <c r="AB185" s="7">
        <v>495</v>
      </c>
      <c r="AC185" s="7" t="b">
        <f>IF(AA$185=U185,K$10*(AB185*Y185))</f>
        <v>0</v>
      </c>
      <c r="AD185" s="7" t="b">
        <f>IF(AA$185=U185,K$11*(AB185*Y185))</f>
        <v>0</v>
      </c>
      <c r="AE185" s="7">
        <f>AC185-AD185</f>
        <v>0</v>
      </c>
      <c r="AF185" s="2"/>
      <c r="AG185" s="2"/>
      <c r="AH185" s="2"/>
      <c r="AI185" s="11">
        <v>1</v>
      </c>
      <c r="AJ185" s="10" t="s">
        <v>89</v>
      </c>
      <c r="AK185" s="9"/>
      <c r="AL185" s="8"/>
      <c r="AM185" s="7">
        <v>1.125E-2</v>
      </c>
      <c r="AN185" s="7" t="str">
        <f>IF((L$8=AJ185),AI185,"")</f>
        <v/>
      </c>
      <c r="AO185" s="7" t="str">
        <f>IFERROR(SMALL(AN$185:AN$187,AI185),"")</f>
        <v/>
      </c>
      <c r="AP185" s="7">
        <v>495</v>
      </c>
      <c r="AQ185" s="7" t="b">
        <f>IF(AO$185=AI185,L$10*(AP185*AM185))</f>
        <v>0</v>
      </c>
      <c r="AR185" s="7" t="b">
        <f>IF(AO$185=AI185,L$11*(AP185*AM185))</f>
        <v>0</v>
      </c>
      <c r="AS185" s="7">
        <f>AQ185-AR185</f>
        <v>0</v>
      </c>
      <c r="AT185" s="2"/>
      <c r="AU185" s="2"/>
      <c r="AW185" s="11">
        <v>1</v>
      </c>
      <c r="AX185" s="10" t="s">
        <v>89</v>
      </c>
      <c r="AY185" s="9"/>
      <c r="AZ185" s="8"/>
      <c r="BA185" s="7">
        <v>1.125E-2</v>
      </c>
      <c r="BB185" s="7" t="str">
        <f>IF((M$8=AX185),AW185,"")</f>
        <v/>
      </c>
      <c r="BC185" s="7" t="str">
        <f>IFERROR(SMALL(BB$185:BB$187,AW185),"")</f>
        <v/>
      </c>
      <c r="BD185" s="7">
        <v>495</v>
      </c>
      <c r="BE185" s="7" t="b">
        <f>IF(BC$185=AW185,M$10*(BD185*BA185))</f>
        <v>0</v>
      </c>
      <c r="BF185" s="7" t="b">
        <f>IF(BC$185=AW185,M$11*(BD185*BA185))</f>
        <v>0</v>
      </c>
      <c r="BG185" s="7">
        <f>BE185-BF185</f>
        <v>0</v>
      </c>
      <c r="BH185" s="2"/>
      <c r="BK185" s="11">
        <v>1</v>
      </c>
      <c r="BL185" s="10" t="s">
        <v>89</v>
      </c>
      <c r="BM185" s="9"/>
      <c r="BN185" s="8"/>
      <c r="BO185" s="7">
        <v>1.125E-2</v>
      </c>
      <c r="BP185" s="7" t="str">
        <f>IF((N$8=BL185),BK185,"")</f>
        <v/>
      </c>
      <c r="BQ185" s="7" t="str">
        <f>IFERROR(SMALL(BP$185:BP$187,BK185),"")</f>
        <v/>
      </c>
      <c r="BR185" s="7">
        <v>495</v>
      </c>
      <c r="BS185" s="7" t="b">
        <f>IF(BQ$185=BK185,N$10*(BR185*BO185))</f>
        <v>0</v>
      </c>
      <c r="BT185" s="7" t="b">
        <f>IF(BQ$185=BK185,N$11*(BR185*BO185))</f>
        <v>0</v>
      </c>
      <c r="BU185" s="7">
        <f>BS185-BT185</f>
        <v>0</v>
      </c>
      <c r="BV185" s="11">
        <v>1</v>
      </c>
      <c r="BW185" s="10" t="s">
        <v>89</v>
      </c>
      <c r="BX185" s="9"/>
      <c r="BY185" s="8"/>
      <c r="BZ185" s="7">
        <v>1.125E-2</v>
      </c>
      <c r="CA185" s="7" t="str">
        <f>IF((O$8=BW185),BV185,"")</f>
        <v/>
      </c>
      <c r="CB185" s="7" t="str">
        <f>IFERROR(SMALL(CA$185:CA$187,BV185),"")</f>
        <v/>
      </c>
      <c r="CC185" s="7">
        <v>495</v>
      </c>
      <c r="CD185" s="7" t="b">
        <f>IF(CB$185=BV185,O$10*(CC185*BZ185))</f>
        <v>0</v>
      </c>
      <c r="CE185" s="7" t="b">
        <f>IF(CB$185=BV185,O$11*(CC185*BZ185))</f>
        <v>0</v>
      </c>
      <c r="CF185" s="7">
        <f>CD185-CE185</f>
        <v>0</v>
      </c>
      <c r="CG185" s="2"/>
    </row>
    <row r="186" spans="6:85">
      <c r="F186" s="2">
        <v>2</v>
      </c>
      <c r="G186" s="6" t="s">
        <v>90</v>
      </c>
      <c r="H186" s="5"/>
      <c r="I186" s="4"/>
      <c r="J186" s="3" t="str">
        <f>IF(I160=1,0.14624, IF(I160=2, 0.479, IF(I160=3, 0.22, IF(I160=4, 0.207, IF(I160=5, 0.0462, IF(I160=6, 0.0462, IF(I160=7, 0.0023, IF(I160=8, 0.0023,""))))))))</f>
        <v/>
      </c>
      <c r="K186" s="3" t="str">
        <f>IF((J$8=G186),F186,"")</f>
        <v/>
      </c>
      <c r="L186" s="3" t="str">
        <f>IFERROR(SMALL(K$185:K$187,F186),"")</f>
        <v/>
      </c>
      <c r="M186" s="3">
        <v>301</v>
      </c>
      <c r="N186" s="3" t="b">
        <f>IF(L$185=F186,J$10*(M186*J186))</f>
        <v>0</v>
      </c>
      <c r="O186" s="3" t="b">
        <f>IF(L$185=F186,J$11*(M186*J186))</f>
        <v>0</v>
      </c>
      <c r="P186" s="3">
        <f>((((N186-O186)/1000)*45366)*0.000001)*J6</f>
        <v>0</v>
      </c>
      <c r="Q186" s="2" t="s">
        <v>64</v>
      </c>
      <c r="R186" s="2"/>
      <c r="S186" s="2"/>
      <c r="U186" s="2">
        <v>2</v>
      </c>
      <c r="V186" s="6" t="s">
        <v>90</v>
      </c>
      <c r="W186" s="5"/>
      <c r="X186" s="4"/>
      <c r="Y186" s="3">
        <f>IF(X160=1,0.14624, IF(X160=2, 0.479, IF(X160=3, 0.22, IF(X160=4, 0.207, IF(X160=5, 0.0462, IF(X160=6, 0.0462, IF(X160=7, 0.0023, IF(X160=8, 0.0023,""))))))))</f>
        <v>0.14624000000000001</v>
      </c>
      <c r="Z186" s="3" t="str">
        <f>IF((K$8=V186),U186,"")</f>
        <v/>
      </c>
      <c r="AA186" s="3" t="str">
        <f>IFERROR(SMALL(Z$185:Z$187,U186),"")</f>
        <v/>
      </c>
      <c r="AB186" s="3">
        <v>301</v>
      </c>
      <c r="AC186" s="3" t="b">
        <f>IF(AA$185=U186,K$10*(AB186*Y186))</f>
        <v>0</v>
      </c>
      <c r="AD186" s="3" t="b">
        <f>IF(AA$185=U186,K$11*(AB186*Y186))</f>
        <v>0</v>
      </c>
      <c r="AE186" s="3">
        <f>((((AC186-AD186)/1000)*45366)*0.000001)*K6</f>
        <v>0</v>
      </c>
      <c r="AF186" s="2" t="s">
        <v>64</v>
      </c>
      <c r="AG186" s="2"/>
      <c r="AH186" s="2"/>
      <c r="AI186" s="2">
        <v>2</v>
      </c>
      <c r="AJ186" s="6" t="s">
        <v>90</v>
      </c>
      <c r="AK186" s="5"/>
      <c r="AL186" s="4"/>
      <c r="AM186" s="3" t="str">
        <f>IF(AL160=1,0.14624, IF(AL160=2, 0.479, IF(AL160=3, 0.22, IF(AL160=4, 0.207, IF(AL160=5, 0.0462, IF(AL160=6, 0.0462, IF(AL160=7, 0.0023, IF(AL160=8, 0.0023,""))))))))</f>
        <v/>
      </c>
      <c r="AN186" s="3" t="str">
        <f>IF((L$8=AJ186),AI186,"")</f>
        <v/>
      </c>
      <c r="AO186" s="3" t="str">
        <f>IFERROR(SMALL(AN$185:AN$187,AI186),"")</f>
        <v/>
      </c>
      <c r="AP186" s="3">
        <v>301</v>
      </c>
      <c r="AQ186" s="3" t="b">
        <f>IF(AO$185=AI186,L$10*(AP186*AM186))</f>
        <v>0</v>
      </c>
      <c r="AR186" s="3" t="b">
        <f>IF(AO$185=AI186,L$11*(AP186*AM186))</f>
        <v>0</v>
      </c>
      <c r="AS186" s="3">
        <f>((((AQ186-AR186)/1000)*45366)*0.000001)*L6</f>
        <v>0</v>
      </c>
      <c r="AT186" s="2" t="s">
        <v>64</v>
      </c>
      <c r="AU186" s="2"/>
      <c r="AW186" s="2">
        <v>2</v>
      </c>
      <c r="AX186" s="6" t="s">
        <v>90</v>
      </c>
      <c r="AY186" s="5"/>
      <c r="AZ186" s="4"/>
      <c r="BA186" s="3" t="str">
        <f>IF(AZ160=1,0.14624, IF(AZ160=2, 0.479, IF(AZ160=3, 0.22, IF(AZ160=4, 0.207, IF(AZ160=5, 0.0462, IF(AZ160=6, 0.0462, IF(AZ160=7, 0.0023, IF(AZ160=8, 0.0023,""))))))))</f>
        <v/>
      </c>
      <c r="BB186" s="3" t="str">
        <f>IF((M$8=AX186),AW186,"")</f>
        <v/>
      </c>
      <c r="BC186" s="3" t="str">
        <f>IFERROR(SMALL(BB$185:BB$187,AW186),"")</f>
        <v/>
      </c>
      <c r="BD186" s="3">
        <v>301</v>
      </c>
      <c r="BE186" s="3" t="b">
        <f>IF(BC$185=AW186,M$10*(BD186*BA186))</f>
        <v>0</v>
      </c>
      <c r="BF186" s="3" t="b">
        <f>IF(BC$185=AW186,M$11*(BD186*BA186))</f>
        <v>0</v>
      </c>
      <c r="BG186" s="3">
        <f>((((BE186-BF186)/1000)*45366)*0.000001)*M6</f>
        <v>0</v>
      </c>
      <c r="BH186" s="2" t="s">
        <v>64</v>
      </c>
      <c r="BK186" s="2">
        <v>2</v>
      </c>
      <c r="BL186" s="6" t="s">
        <v>90</v>
      </c>
      <c r="BM186" s="5"/>
      <c r="BN186" s="4"/>
      <c r="BO186" s="3" t="str">
        <f>IF(BN160=1,0.14624, IF(BN160=2, 0.479, IF(BN160=3, 0.22, IF(BN160=4, 0.207, IF(BN160=5, 0.0462, IF(BN160=6, 0.0462, IF(BN160=7, 0.0023, IF(BN160=8, 0.0023,""))))))))</f>
        <v/>
      </c>
      <c r="BP186" s="3" t="str">
        <f>IF((N$8=BL186),BK186,"")</f>
        <v/>
      </c>
      <c r="BQ186" s="3" t="str">
        <f>IFERROR(SMALL(BP$185:BP$187,BK186),"")</f>
        <v/>
      </c>
      <c r="BR186" s="3">
        <v>301</v>
      </c>
      <c r="BS186" s="3" t="b">
        <f>IF(BQ$185=BK186,N$10*(BR186*BO186))</f>
        <v>0</v>
      </c>
      <c r="BT186" s="3" t="b">
        <f>IF(BQ$185=BK186,N$11*(BR186*BO186))</f>
        <v>0</v>
      </c>
      <c r="BU186" s="3">
        <f>((((BS186-BT186)/1000)*45366)*0.000001)*N6</f>
        <v>0</v>
      </c>
      <c r="BV186" s="2">
        <v>2</v>
      </c>
      <c r="BW186" s="6" t="s">
        <v>90</v>
      </c>
      <c r="BX186" s="5"/>
      <c r="BY186" s="4"/>
      <c r="BZ186" s="3" t="str">
        <f>IF(BY160=1,0.14624, IF(BY160=2, 0.479, IF(BY160=3, 0.22, IF(BY160=4, 0.207, IF(BY160=5, 0.0462, IF(BY160=6, 0.0462, IF(BY160=7, 0.0023, IF(BY160=8, 0.0023,""))))))))</f>
        <v/>
      </c>
      <c r="CA186" s="3" t="str">
        <f>IF((O$8=BW186),BV186,"")</f>
        <v/>
      </c>
      <c r="CB186" s="3" t="str">
        <f>IFERROR(SMALL(CA$185:CA$187,BV186),"")</f>
        <v/>
      </c>
      <c r="CC186" s="3">
        <v>301</v>
      </c>
      <c r="CD186" s="3" t="b">
        <f>IF(CB$185=BV186,O$10*(CC186*BZ186))</f>
        <v>0</v>
      </c>
      <c r="CE186" s="3" t="b">
        <f>IF(CB$185=BV186,O$11*(CC186*BZ186))</f>
        <v>0</v>
      </c>
      <c r="CF186" s="3">
        <f>((((CD186-CE186)/1000)*45366)*0.000001)*O6</f>
        <v>0</v>
      </c>
      <c r="CG186" s="2" t="s">
        <v>64</v>
      </c>
    </row>
    <row r="187" spans="6:85">
      <c r="F187" s="2">
        <v>3</v>
      </c>
      <c r="G187" s="6" t="s">
        <v>91</v>
      </c>
      <c r="H187" s="5"/>
      <c r="I187" s="4"/>
      <c r="J187" s="3" t="str">
        <f>IF(I160=1,0.1297, IF(I160=2, 0.362, IF(I160=3, 0.165, IF(I160=4, 0.178, IF(I160=5, 0.0354, IF(I160=6, 0.0354, IF(I160=7,"", IF(I160=8, 0.0018,""))))))))</f>
        <v/>
      </c>
      <c r="K187" s="3" t="str">
        <f>IF((J$8=G187),F187,"")</f>
        <v/>
      </c>
      <c r="L187" s="3" t="str">
        <f>IFERROR(SMALL(K$185:K$187,F187),"")</f>
        <v/>
      </c>
      <c r="M187" s="3">
        <v>247</v>
      </c>
      <c r="N187" s="3" t="b">
        <f>IF(L$185=F187,J$10*(M187*J187))</f>
        <v>0</v>
      </c>
      <c r="O187" s="3" t="b">
        <f>IF(L$185=F187,J$11*(M187*J187))</f>
        <v>0</v>
      </c>
      <c r="P187" s="3">
        <f>((((N187-O187)/1000)*45366)*0.000001)*J6</f>
        <v>0</v>
      </c>
      <c r="Q187" s="2" t="s">
        <v>64</v>
      </c>
      <c r="R187" s="2"/>
      <c r="S187" s="2"/>
      <c r="U187" s="2">
        <v>3</v>
      </c>
      <c r="V187" s="6" t="s">
        <v>91</v>
      </c>
      <c r="W187" s="5"/>
      <c r="X187" s="4"/>
      <c r="Y187" s="3">
        <f>IF(X160=1,0.1297, IF(X160=2, 0.362, IF(X160=3, 0.165, IF(X160=4, 0.178, IF(X160=5, 0.0354, IF(X160=6, 0.0354, IF(X160=7,"", IF(X160=8, 0.0018,""))))))))</f>
        <v>0.12970000000000001</v>
      </c>
      <c r="Z187" s="3" t="str">
        <f>IF((K$8=V187),U187,"")</f>
        <v/>
      </c>
      <c r="AA187" s="3" t="str">
        <f>IFERROR(SMALL(Z$185:Z$187,U187),"")</f>
        <v/>
      </c>
      <c r="AB187" s="3">
        <v>247</v>
      </c>
      <c r="AC187" s="3" t="b">
        <f>IF(AA$185=U187,K$10*(AB187*Y187))</f>
        <v>0</v>
      </c>
      <c r="AD187" s="3" t="b">
        <f>IF(AA$185=U187,K$11*(AB187*Y187))</f>
        <v>0</v>
      </c>
      <c r="AE187" s="3">
        <f>((((AC187-AD187)/1000)*45366)*0.000001)*K6</f>
        <v>0</v>
      </c>
      <c r="AF187" s="2" t="s">
        <v>64</v>
      </c>
      <c r="AG187" s="2"/>
      <c r="AH187" s="2"/>
      <c r="AI187" s="2">
        <v>3</v>
      </c>
      <c r="AJ187" s="6" t="s">
        <v>91</v>
      </c>
      <c r="AK187" s="5"/>
      <c r="AL187" s="4"/>
      <c r="AM187" s="3" t="str">
        <f>IF(AL160=1,0.1297, IF(AL160=2, 0.362, IF(AL160=3, 0.165, IF(AL160=4, 0.178, IF(AL160=5, 0.0354, IF(AL160=6, 0.0354, IF(AL160=7,"", IF(AL160=8, 0.0018,""))))))))</f>
        <v/>
      </c>
      <c r="AN187" s="3" t="str">
        <f>IF((L$8=AJ187),AI187,"")</f>
        <v/>
      </c>
      <c r="AO187" s="3" t="str">
        <f>IFERROR(SMALL(AN$185:AN$187,AI187),"")</f>
        <v/>
      </c>
      <c r="AP187" s="3">
        <v>247</v>
      </c>
      <c r="AQ187" s="3" t="b">
        <f>IF(AO$185=AI187,L$10*(AP187*AM187))</f>
        <v>0</v>
      </c>
      <c r="AR187" s="3" t="b">
        <f>IF(AO$185=AI187,L$11*(AP187*AM187))</f>
        <v>0</v>
      </c>
      <c r="AS187" s="3">
        <f>((((AQ187-AR187)/1000)*45366)*0.000001)*L6</f>
        <v>0</v>
      </c>
      <c r="AT187" s="2" t="s">
        <v>64</v>
      </c>
      <c r="AU187" s="2"/>
      <c r="AW187" s="2">
        <v>3</v>
      </c>
      <c r="AX187" s="6" t="s">
        <v>91</v>
      </c>
      <c r="AY187" s="5"/>
      <c r="AZ187" s="4"/>
      <c r="BA187" s="3" t="str">
        <f>IF(AZ160=1,0.1297, IF(AZ160=2, 0.362, IF(AZ160=3, 0.165, IF(AZ160=4, 0.178, IF(AZ160=5, 0.0354, IF(AZ160=6, 0.0354, IF(AZ160=7,"", IF(AZ160=8, 0.0018,""))))))))</f>
        <v/>
      </c>
      <c r="BB187" s="3" t="str">
        <f>IF((M$8=AX187),AW187,"")</f>
        <v/>
      </c>
      <c r="BC187" s="3" t="str">
        <f>IFERROR(SMALL(BB$185:BB$187,AW187),"")</f>
        <v/>
      </c>
      <c r="BD187" s="3">
        <v>247</v>
      </c>
      <c r="BE187" s="3" t="b">
        <f>IF(BC$185=AW187,M$10*(BD187*BA187))</f>
        <v>0</v>
      </c>
      <c r="BF187" s="3" t="b">
        <f>IF(BC$185=AW187,M$11*(BD187*BA187))</f>
        <v>0</v>
      </c>
      <c r="BG187" s="3">
        <f>((((BE187-BF187)/1000)*45366)*0.000001)*M6</f>
        <v>0</v>
      </c>
      <c r="BH187" s="2" t="s">
        <v>64</v>
      </c>
      <c r="BK187" s="2">
        <v>3</v>
      </c>
      <c r="BL187" s="6" t="s">
        <v>91</v>
      </c>
      <c r="BM187" s="5"/>
      <c r="BN187" s="4"/>
      <c r="BO187" s="3" t="str">
        <f>IF(BN160=1,0.1297, IF(BN160=2, 0.362, IF(BN160=3, 0.165, IF(BN160=4, 0.178, IF(BN160=5, 0.0354, IF(BN160=6, 0.0354, IF(BN160=7,"", IF(BN160=8, 0.0018,""))))))))</f>
        <v/>
      </c>
      <c r="BP187" s="3" t="str">
        <f>IF((N$8=BL187),BK187,"")</f>
        <v/>
      </c>
      <c r="BQ187" s="3" t="str">
        <f>IFERROR(SMALL(BP$185:BP$187,BK187),"")</f>
        <v/>
      </c>
      <c r="BR187" s="3">
        <v>247</v>
      </c>
      <c r="BS187" s="3" t="b">
        <f>IF(BQ$185=BK187,N$10*(BR187*BO187))</f>
        <v>0</v>
      </c>
      <c r="BT187" s="3" t="b">
        <f>IF(BQ$185=BK187,N$11*(BR187*BO187))</f>
        <v>0</v>
      </c>
      <c r="BU187" s="3">
        <f>((((BS187-BT187)/1000)*45366)*0.000001)*N6</f>
        <v>0</v>
      </c>
      <c r="BV187" s="2">
        <v>3</v>
      </c>
      <c r="BW187" s="6" t="s">
        <v>91</v>
      </c>
      <c r="BX187" s="5"/>
      <c r="BY187" s="4"/>
      <c r="BZ187" s="3" t="str">
        <f>IF(BY160=1,0.1297, IF(BY160=2, 0.362, IF(BY160=3, 0.165, IF(BY160=4, 0.178, IF(BY160=5, 0.0354, IF(BY160=6, 0.0354, IF(BY160=7,"", IF(BY160=8, 0.0018,""))))))))</f>
        <v/>
      </c>
      <c r="CA187" s="3" t="str">
        <f>IF((O$8=BW187),BV187,"")</f>
        <v/>
      </c>
      <c r="CB187" s="3" t="str">
        <f>IFERROR(SMALL(CA$185:CA$187,BV187),"")</f>
        <v/>
      </c>
      <c r="CC187" s="3">
        <v>247</v>
      </c>
      <c r="CD187" s="3" t="b">
        <f>IF(CB$185=BV187,O$10*(CC187*BZ187))</f>
        <v>0</v>
      </c>
      <c r="CE187" s="3" t="b">
        <f>IF(CB$185=BV187,O$11*(CC187*BZ187))</f>
        <v>0</v>
      </c>
      <c r="CF187" s="3">
        <f>((((CD187-CE187)/1000)*45366)*0.000001)*O6</f>
        <v>0</v>
      </c>
      <c r="CG187" s="2" t="s">
        <v>64</v>
      </c>
    </row>
    <row r="188" spans="6:85">
      <c r="F188" s="2"/>
      <c r="G188" s="2"/>
      <c r="H188" s="2"/>
      <c r="I188" s="2"/>
      <c r="J188" s="2"/>
      <c r="K188" s="2"/>
      <c r="L188" s="2"/>
      <c r="M188" s="2"/>
      <c r="N188" s="2"/>
      <c r="O188" s="2"/>
      <c r="P188" s="2"/>
      <c r="Q188" s="2"/>
      <c r="R188" s="2"/>
      <c r="S188" s="2"/>
      <c r="U188" s="2"/>
      <c r="V188" s="2"/>
      <c r="W188" s="2"/>
      <c r="X188" s="2"/>
      <c r="Y188" s="2"/>
      <c r="Z188" s="2"/>
      <c r="AA188" s="2"/>
      <c r="AB188" s="2"/>
      <c r="AC188" s="2"/>
      <c r="AD188" s="2"/>
      <c r="AE188" s="2"/>
      <c r="AF188" s="2"/>
      <c r="AG188" s="2"/>
      <c r="AH188" s="2"/>
      <c r="AI188" s="2"/>
      <c r="AJ188" s="2"/>
      <c r="AK188" s="2"/>
      <c r="AL188" s="2"/>
      <c r="AM188" s="2"/>
      <c r="AN188" s="2"/>
      <c r="AO188" s="2"/>
      <c r="AP188" s="2"/>
      <c r="AQ188" s="2"/>
      <c r="AR188" s="2"/>
      <c r="AS188" s="2"/>
      <c r="AT188" s="2"/>
      <c r="AU188" s="2"/>
      <c r="AW188" s="2"/>
      <c r="AX188" s="2"/>
      <c r="AY188" s="2"/>
      <c r="AZ188" s="2"/>
      <c r="BA188" s="2"/>
      <c r="BB188" s="2"/>
      <c r="BC188" s="2"/>
      <c r="BD188" s="2"/>
      <c r="BE188" s="2"/>
      <c r="BF188" s="2"/>
      <c r="BG188" s="2"/>
      <c r="BH188" s="2"/>
      <c r="BK188" s="2"/>
      <c r="BL188" s="2"/>
      <c r="BM188" s="2"/>
      <c r="BN188" s="2"/>
      <c r="BO188" s="2"/>
      <c r="BP188" s="2"/>
      <c r="BQ188" s="2"/>
      <c r="BR188" s="2"/>
      <c r="BS188" s="2"/>
      <c r="BT188" s="2"/>
      <c r="BU188" s="2"/>
      <c r="BV188" s="2"/>
      <c r="BW188" s="2"/>
      <c r="BX188" s="2"/>
      <c r="BY188" s="2"/>
      <c r="BZ188" s="2"/>
      <c r="CA188" s="2"/>
      <c r="CB188" s="2"/>
      <c r="CC188" s="2"/>
      <c r="CD188" s="2"/>
      <c r="CE188" s="2"/>
      <c r="CF188" s="2"/>
      <c r="CG188" s="2"/>
    </row>
    <row r="189" spans="6:85">
      <c r="F189" s="2"/>
      <c r="G189" s="2"/>
      <c r="H189" s="2"/>
      <c r="I189" s="2"/>
      <c r="J189" s="2"/>
      <c r="K189" s="2"/>
      <c r="L189" s="2"/>
      <c r="M189" s="2"/>
      <c r="N189" s="2"/>
      <c r="O189" s="2"/>
      <c r="P189" s="2"/>
      <c r="Q189" s="2"/>
      <c r="R189" s="2"/>
      <c r="S189" s="2"/>
      <c r="U189" s="2"/>
      <c r="V189" s="2"/>
      <c r="W189" s="2"/>
      <c r="X189" s="2"/>
      <c r="Y189" s="2"/>
      <c r="Z189" s="2"/>
      <c r="AA189" s="2"/>
      <c r="AB189" s="2"/>
      <c r="AC189" s="2"/>
      <c r="AD189" s="2"/>
      <c r="AE189" s="2"/>
      <c r="AF189" s="2"/>
      <c r="AG189" s="2"/>
      <c r="AH189" s="2"/>
      <c r="AI189" s="2"/>
      <c r="AJ189" s="2"/>
      <c r="AK189" s="2"/>
      <c r="AL189" s="2"/>
      <c r="AM189" s="2"/>
      <c r="AN189" s="2"/>
      <c r="AO189" s="2"/>
      <c r="AP189" s="2"/>
      <c r="AQ189" s="2"/>
      <c r="AR189" s="2"/>
      <c r="AS189" s="2"/>
      <c r="AT189" s="2"/>
      <c r="AU189" s="2"/>
      <c r="AW189" s="2"/>
      <c r="AX189" s="2"/>
      <c r="AY189" s="2"/>
      <c r="AZ189" s="2"/>
      <c r="BA189" s="2"/>
      <c r="BB189" s="2"/>
      <c r="BC189" s="2"/>
      <c r="BD189" s="2"/>
      <c r="BE189" s="2"/>
      <c r="BF189" s="2"/>
      <c r="BG189" s="2"/>
      <c r="BH189" s="2"/>
      <c r="BK189" s="2"/>
      <c r="BL189" s="2"/>
      <c r="BM189" s="2"/>
      <c r="BN189" s="2"/>
      <c r="BO189" s="2"/>
      <c r="BP189" s="2"/>
      <c r="BQ189" s="2"/>
      <c r="BR189" s="2"/>
      <c r="BS189" s="2"/>
      <c r="BT189" s="2"/>
      <c r="BU189" s="2"/>
      <c r="BV189" s="2"/>
      <c r="BW189" s="2"/>
      <c r="BX189" s="2"/>
      <c r="BY189" s="2"/>
      <c r="BZ189" s="2"/>
      <c r="CA189" s="2"/>
      <c r="CB189" s="2"/>
      <c r="CC189" s="2"/>
      <c r="CD189" s="2"/>
      <c r="CE189" s="2"/>
      <c r="CF189" s="2"/>
      <c r="CG189" s="2"/>
    </row>
    <row r="190" spans="6:85">
      <c r="F190" s="2"/>
      <c r="G190" s="2"/>
      <c r="H190" s="2"/>
      <c r="I190" s="2"/>
      <c r="J190" s="2"/>
      <c r="K190" s="2"/>
      <c r="L190" s="2"/>
      <c r="M190" s="2"/>
      <c r="N190" s="2"/>
      <c r="O190" s="2"/>
      <c r="P190" s="2"/>
      <c r="Q190" s="2"/>
      <c r="R190" s="2"/>
      <c r="S190" s="2"/>
      <c r="U190" s="2"/>
      <c r="V190" s="2"/>
      <c r="W190" s="2"/>
      <c r="X190" s="2"/>
      <c r="Y190" s="2"/>
      <c r="Z190" s="2"/>
      <c r="AA190" s="2"/>
      <c r="AB190" s="2"/>
      <c r="AC190" s="2"/>
      <c r="AD190" s="2"/>
      <c r="AE190" s="2"/>
      <c r="AF190" s="2"/>
      <c r="AG190" s="2"/>
      <c r="AH190" s="2"/>
      <c r="AI190" s="2"/>
      <c r="AJ190" s="2"/>
      <c r="AK190" s="2"/>
      <c r="AL190" s="2"/>
      <c r="AM190" s="2"/>
      <c r="AN190" s="2"/>
      <c r="AO190" s="2"/>
      <c r="AP190" s="2"/>
      <c r="AQ190" s="2"/>
      <c r="AR190" s="2"/>
      <c r="AS190" s="2"/>
      <c r="AT190" s="2"/>
      <c r="AU190" s="2"/>
      <c r="AW190" s="2"/>
      <c r="AX190" s="2"/>
      <c r="AY190" s="2"/>
      <c r="AZ190" s="2"/>
      <c r="BA190" s="2"/>
      <c r="BB190" s="2"/>
      <c r="BC190" s="2"/>
      <c r="BD190" s="2"/>
      <c r="BE190" s="2"/>
      <c r="BF190" s="2"/>
      <c r="BG190" s="2"/>
      <c r="BH190" s="2"/>
      <c r="BK190" s="2"/>
      <c r="BL190" s="2"/>
      <c r="BM190" s="2"/>
      <c r="BN190" s="2"/>
      <c r="BO190" s="2"/>
      <c r="BP190" s="2"/>
      <c r="BQ190" s="2"/>
      <c r="BR190" s="2"/>
      <c r="BS190" s="2"/>
      <c r="BT190" s="2"/>
      <c r="BU190" s="2"/>
      <c r="BV190" s="2"/>
      <c r="BW190" s="2"/>
      <c r="BX190" s="2"/>
      <c r="BY190" s="2"/>
      <c r="BZ190" s="2"/>
      <c r="CA190" s="2"/>
      <c r="CB190" s="2"/>
      <c r="CC190" s="2"/>
      <c r="CD190" s="2"/>
      <c r="CE190" s="2"/>
      <c r="CF190" s="2"/>
      <c r="CG190" s="2"/>
    </row>
    <row r="191" spans="6:85">
      <c r="F191" s="2"/>
      <c r="G191" s="16" t="s">
        <v>93</v>
      </c>
      <c r="H191" s="2"/>
      <c r="I191" s="2"/>
      <c r="J191" s="2"/>
      <c r="K191" s="2"/>
      <c r="L191" s="2"/>
      <c r="M191" s="2"/>
      <c r="N191" s="2"/>
      <c r="O191" s="2"/>
      <c r="P191" s="2"/>
      <c r="Q191" s="2"/>
      <c r="R191" s="2"/>
      <c r="S191" s="2"/>
      <c r="U191" s="2"/>
      <c r="V191" s="2"/>
      <c r="W191" s="2"/>
      <c r="X191" s="2"/>
      <c r="Y191" s="2"/>
      <c r="Z191" s="2"/>
      <c r="AA191" s="2"/>
      <c r="AB191" s="2"/>
      <c r="AC191" s="2"/>
      <c r="AD191" s="2"/>
      <c r="AE191" s="2"/>
      <c r="AF191" s="2"/>
      <c r="AG191" s="2"/>
      <c r="AH191" s="2"/>
      <c r="AI191" s="2"/>
      <c r="AJ191" s="2"/>
      <c r="AK191" s="2"/>
      <c r="AL191" s="2"/>
      <c r="AM191" s="2"/>
      <c r="AN191" s="2"/>
      <c r="AO191" s="2"/>
      <c r="AP191" s="2"/>
      <c r="AQ191" s="2"/>
      <c r="AR191" s="2"/>
      <c r="AS191" s="2"/>
      <c r="AT191" s="2"/>
      <c r="AU191" s="2"/>
      <c r="AW191" s="2"/>
      <c r="AX191" s="2"/>
      <c r="AY191" s="2"/>
      <c r="AZ191" s="2"/>
      <c r="BA191" s="2"/>
      <c r="BB191" s="2"/>
      <c r="BC191" s="2"/>
      <c r="BD191" s="2"/>
      <c r="BE191" s="2"/>
      <c r="BF191" s="2"/>
      <c r="BG191" s="2"/>
      <c r="BH191" s="2"/>
      <c r="BK191" s="2"/>
      <c r="BL191" s="2"/>
      <c r="BM191" s="2"/>
      <c r="BN191" s="2"/>
      <c r="BO191" s="2"/>
      <c r="BP191" s="2"/>
      <c r="BQ191" s="2"/>
      <c r="BR191" s="2"/>
      <c r="BS191" s="2"/>
      <c r="BT191" s="2"/>
      <c r="BU191" s="2"/>
      <c r="BV191" s="2"/>
      <c r="BW191" s="2"/>
      <c r="BX191" s="2"/>
      <c r="BY191" s="2"/>
      <c r="BZ191" s="2"/>
      <c r="CA191" s="2"/>
      <c r="CB191" s="2"/>
      <c r="CC191" s="2"/>
      <c r="CD191" s="2"/>
      <c r="CE191" s="2"/>
      <c r="CF191" s="2"/>
      <c r="CG191" s="2"/>
    </row>
    <row r="192" spans="6:85">
      <c r="F192" s="2"/>
      <c r="G192" s="16"/>
      <c r="H192" s="2"/>
      <c r="I192" s="2"/>
      <c r="J192" s="2"/>
      <c r="K192" s="2"/>
      <c r="L192" s="2"/>
      <c r="M192" s="2"/>
      <c r="N192" s="2"/>
      <c r="O192" s="2"/>
      <c r="P192" s="2"/>
      <c r="Q192" s="2"/>
      <c r="R192" s="2"/>
      <c r="S192" s="2"/>
      <c r="U192" s="2"/>
      <c r="V192" s="2"/>
      <c r="W192" s="2"/>
      <c r="X192" s="2"/>
      <c r="Y192" s="2"/>
      <c r="Z192" s="2"/>
      <c r="AA192" s="2"/>
      <c r="AB192" s="2"/>
      <c r="AC192" s="2"/>
      <c r="AD192" s="2"/>
      <c r="AE192" s="2"/>
      <c r="AF192" s="2"/>
      <c r="AG192" s="2"/>
      <c r="AH192" s="2"/>
      <c r="AI192" s="2"/>
      <c r="AJ192" s="2"/>
      <c r="AK192" s="2"/>
      <c r="AL192" s="2"/>
      <c r="AM192" s="2"/>
      <c r="AN192" s="2"/>
      <c r="AO192" s="2"/>
      <c r="AP192" s="2"/>
      <c r="AQ192" s="2"/>
      <c r="AR192" s="2"/>
      <c r="AS192" s="2"/>
      <c r="AT192" s="2"/>
      <c r="AU192" s="2"/>
      <c r="AW192" s="2"/>
      <c r="AX192" s="2"/>
      <c r="AY192" s="2"/>
      <c r="AZ192" s="2"/>
      <c r="BA192" s="2"/>
      <c r="BB192" s="2"/>
      <c r="BC192" s="2"/>
      <c r="BD192" s="2"/>
      <c r="BE192" s="2"/>
      <c r="BF192" s="2"/>
      <c r="BG192" s="2"/>
      <c r="BH192" s="2"/>
      <c r="BK192" s="2"/>
      <c r="BL192" s="2"/>
      <c r="BM192" s="2"/>
      <c r="BN192" s="2"/>
      <c r="BO192" s="2"/>
      <c r="BP192" s="2"/>
      <c r="BQ192" s="2"/>
      <c r="BR192" s="2"/>
      <c r="BS192" s="2"/>
      <c r="BT192" s="2"/>
      <c r="BU192" s="2"/>
      <c r="BV192" s="2"/>
      <c r="BW192" s="2"/>
      <c r="BX192" s="2"/>
      <c r="BY192" s="2"/>
      <c r="BZ192" s="2"/>
      <c r="CA192" s="2"/>
      <c r="CB192" s="2"/>
      <c r="CC192" s="2"/>
      <c r="CD192" s="2"/>
      <c r="CE192" s="2"/>
      <c r="CF192" s="2"/>
      <c r="CG192" s="2"/>
    </row>
    <row r="193" spans="6:85">
      <c r="F193" s="2" t="s">
        <v>94</v>
      </c>
      <c r="G193" s="16"/>
      <c r="H193" s="2"/>
      <c r="I193" s="2"/>
      <c r="J193" s="2"/>
      <c r="K193" s="2"/>
      <c r="L193" s="2"/>
      <c r="M193" s="2"/>
      <c r="N193" s="2"/>
      <c r="O193" s="2"/>
      <c r="P193" s="2"/>
      <c r="Q193" s="2"/>
      <c r="R193" s="2"/>
      <c r="S193" s="2"/>
      <c r="U193" s="2"/>
      <c r="V193" s="2"/>
      <c r="W193" s="2"/>
      <c r="X193" s="2"/>
      <c r="Y193" s="2"/>
      <c r="Z193" s="2"/>
      <c r="AA193" s="2"/>
      <c r="AB193" s="2"/>
      <c r="AC193" s="2"/>
      <c r="AD193" s="2"/>
      <c r="AE193" s="2"/>
      <c r="AF193" s="2"/>
      <c r="AG193" s="2"/>
      <c r="AH193" s="2"/>
      <c r="AI193" s="2"/>
      <c r="AJ193" s="2"/>
      <c r="AK193" s="2"/>
      <c r="AL193" s="2"/>
      <c r="AM193" s="2"/>
      <c r="AN193" s="2"/>
      <c r="AO193" s="2"/>
      <c r="AP193" s="2"/>
      <c r="AQ193" s="2"/>
      <c r="AR193" s="2"/>
      <c r="AS193" s="2"/>
      <c r="AT193" s="2"/>
      <c r="AU193" s="2"/>
      <c r="AW193" s="2"/>
      <c r="AX193" s="2"/>
      <c r="AY193" s="2"/>
      <c r="AZ193" s="2"/>
      <c r="BA193" s="2"/>
      <c r="BB193" s="2"/>
      <c r="BC193" s="2"/>
      <c r="BD193" s="2"/>
      <c r="BE193" s="2"/>
      <c r="BF193" s="2"/>
      <c r="BG193" s="2"/>
      <c r="BH193" s="2"/>
      <c r="BK193" s="2"/>
      <c r="BL193" s="2"/>
      <c r="BM193" s="2"/>
      <c r="BN193" s="2"/>
      <c r="BO193" s="2"/>
      <c r="BP193" s="2"/>
      <c r="BQ193" s="2"/>
      <c r="BR193" s="2"/>
      <c r="BS193" s="2"/>
      <c r="BT193" s="2"/>
      <c r="BU193" s="2"/>
      <c r="BV193" s="2"/>
      <c r="BW193" s="2"/>
      <c r="BX193" s="2"/>
      <c r="BY193" s="2"/>
      <c r="BZ193" s="2"/>
      <c r="CA193" s="2"/>
      <c r="CB193" s="2"/>
      <c r="CC193" s="2"/>
      <c r="CD193" s="2"/>
      <c r="CE193" s="2"/>
      <c r="CF193" s="2"/>
      <c r="CG193" s="2"/>
    </row>
    <row r="194" spans="6:85">
      <c r="F194" s="2" t="s">
        <v>95</v>
      </c>
      <c r="G194" s="16"/>
      <c r="H194" s="2"/>
      <c r="I194" s="2"/>
      <c r="J194" s="2"/>
      <c r="K194" s="2"/>
      <c r="L194" s="2"/>
      <c r="M194" s="2"/>
      <c r="N194" s="2"/>
      <c r="O194" s="2"/>
      <c r="P194" s="2"/>
      <c r="Q194" s="2"/>
      <c r="R194" s="2"/>
      <c r="S194" s="2"/>
      <c r="U194" s="2"/>
      <c r="V194" s="2"/>
      <c r="W194" s="2"/>
      <c r="X194" s="2"/>
      <c r="Y194" s="2"/>
      <c r="Z194" s="2"/>
      <c r="AA194" s="2"/>
      <c r="AB194" s="2"/>
      <c r="AC194" s="2"/>
      <c r="AD194" s="2"/>
      <c r="AE194" s="2"/>
      <c r="AF194" s="2"/>
      <c r="AG194" s="2"/>
      <c r="AH194" s="2"/>
      <c r="AI194" s="2"/>
      <c r="AJ194" s="2"/>
      <c r="AK194" s="2"/>
      <c r="AL194" s="2"/>
      <c r="AM194" s="2"/>
      <c r="AN194" s="2"/>
      <c r="AO194" s="2"/>
      <c r="AP194" s="2"/>
      <c r="AQ194" s="2"/>
      <c r="AR194" s="2"/>
      <c r="AS194" s="2"/>
      <c r="AT194" s="2"/>
      <c r="AU194" s="2"/>
      <c r="AW194" s="2"/>
      <c r="AX194" s="2"/>
      <c r="AY194" s="2"/>
      <c r="AZ194" s="2"/>
      <c r="BA194" s="2"/>
      <c r="BB194" s="2"/>
      <c r="BC194" s="2"/>
      <c r="BD194" s="2"/>
      <c r="BE194" s="2"/>
      <c r="BF194" s="2"/>
      <c r="BG194" s="2"/>
      <c r="BH194" s="2"/>
      <c r="BK194" s="2"/>
      <c r="BL194" s="2"/>
      <c r="BM194" s="2"/>
      <c r="BN194" s="2"/>
      <c r="BO194" s="2"/>
      <c r="BP194" s="2"/>
      <c r="BQ194" s="2"/>
      <c r="BR194" s="2"/>
      <c r="BS194" s="2"/>
      <c r="BT194" s="2"/>
      <c r="BU194" s="2"/>
      <c r="BV194" s="2"/>
      <c r="BW194" s="2"/>
      <c r="BX194" s="2"/>
      <c r="BY194" s="2"/>
      <c r="BZ194" s="2"/>
      <c r="CA194" s="2"/>
      <c r="CB194" s="2"/>
      <c r="CC194" s="2"/>
      <c r="CD194" s="2"/>
      <c r="CE194" s="2"/>
      <c r="CF194" s="2"/>
      <c r="CG194" s="2"/>
    </row>
    <row r="195" spans="6:85">
      <c r="F195" s="2" t="s">
        <v>96</v>
      </c>
      <c r="G195" s="16"/>
      <c r="H195" s="2"/>
      <c r="I195" s="2"/>
      <c r="J195" s="2"/>
      <c r="K195" s="2"/>
      <c r="L195" s="2"/>
      <c r="M195" s="2"/>
      <c r="N195" s="2"/>
      <c r="O195" s="2"/>
      <c r="P195" s="2"/>
      <c r="Q195" s="2"/>
      <c r="R195" s="2"/>
      <c r="S195" s="2"/>
      <c r="U195" s="2"/>
      <c r="V195" s="2"/>
      <c r="W195" s="2"/>
      <c r="X195" s="2"/>
      <c r="Y195" s="2"/>
      <c r="Z195" s="2"/>
      <c r="AA195" s="2"/>
      <c r="AB195" s="2"/>
      <c r="AC195" s="2"/>
      <c r="AD195" s="2"/>
      <c r="AE195" s="2"/>
      <c r="AF195" s="2"/>
      <c r="AG195" s="2"/>
      <c r="AH195" s="2"/>
      <c r="AI195" s="2"/>
      <c r="AJ195" s="2"/>
      <c r="AK195" s="2"/>
      <c r="AL195" s="2"/>
      <c r="AM195" s="2"/>
      <c r="AN195" s="2"/>
      <c r="AO195" s="2"/>
      <c r="AP195" s="2"/>
      <c r="AQ195" s="2"/>
      <c r="AR195" s="2"/>
      <c r="AS195" s="2"/>
      <c r="AT195" s="2"/>
      <c r="AU195" s="2"/>
      <c r="AW195" s="2"/>
      <c r="AX195" s="2"/>
      <c r="AY195" s="2"/>
      <c r="AZ195" s="2"/>
      <c r="BA195" s="2"/>
      <c r="BB195" s="2"/>
      <c r="BC195" s="2"/>
      <c r="BD195" s="2"/>
      <c r="BE195" s="2"/>
      <c r="BF195" s="2"/>
      <c r="BG195" s="2"/>
      <c r="BH195" s="2"/>
      <c r="BK195" s="2"/>
      <c r="BL195" s="2"/>
      <c r="BM195" s="2"/>
      <c r="BN195" s="2"/>
      <c r="BO195" s="2"/>
      <c r="BP195" s="2"/>
      <c r="BQ195" s="2"/>
      <c r="BR195" s="2"/>
      <c r="BS195" s="2"/>
      <c r="BT195" s="2"/>
      <c r="BU195" s="2"/>
      <c r="BV195" s="2"/>
      <c r="BW195" s="2"/>
      <c r="BX195" s="2"/>
      <c r="BY195" s="2"/>
      <c r="BZ195" s="2"/>
      <c r="CA195" s="2"/>
      <c r="CB195" s="2"/>
      <c r="CC195" s="2"/>
      <c r="CD195" s="2"/>
      <c r="CE195" s="2"/>
      <c r="CF195" s="2"/>
      <c r="CG195" s="2"/>
    </row>
    <row r="196" spans="6:85">
      <c r="F196" s="2"/>
      <c r="G196" s="16"/>
      <c r="H196" s="2"/>
      <c r="I196" s="2"/>
      <c r="J196" s="2"/>
      <c r="K196" s="2"/>
      <c r="L196" s="2"/>
      <c r="M196" s="2"/>
      <c r="N196" s="2"/>
      <c r="O196" s="2"/>
      <c r="P196" s="2"/>
      <c r="Q196" s="2"/>
      <c r="R196" s="2"/>
      <c r="S196" s="2"/>
      <c r="U196" s="2"/>
      <c r="V196" s="2"/>
      <c r="W196" s="2"/>
      <c r="X196" s="2"/>
      <c r="Y196" s="2"/>
      <c r="Z196" s="2"/>
      <c r="AA196" s="2"/>
      <c r="AB196" s="2"/>
      <c r="AC196" s="2"/>
      <c r="AD196" s="2"/>
      <c r="AE196" s="2"/>
      <c r="AF196" s="2"/>
      <c r="AG196" s="2"/>
      <c r="AH196" s="2"/>
      <c r="AI196" s="2"/>
      <c r="AJ196" s="2"/>
      <c r="AK196" s="2"/>
      <c r="AL196" s="2"/>
      <c r="AM196" s="2"/>
      <c r="AN196" s="2"/>
      <c r="AO196" s="2"/>
      <c r="AP196" s="2"/>
      <c r="AQ196" s="2"/>
      <c r="AR196" s="2"/>
      <c r="AS196" s="2"/>
      <c r="AT196" s="2"/>
      <c r="AU196" s="2"/>
      <c r="AW196" s="2"/>
      <c r="AX196" s="2"/>
      <c r="AY196" s="2"/>
      <c r="AZ196" s="2"/>
      <c r="BA196" s="2"/>
      <c r="BB196" s="2"/>
      <c r="BC196" s="2"/>
      <c r="BD196" s="2"/>
      <c r="BE196" s="2"/>
      <c r="BF196" s="2"/>
      <c r="BG196" s="2"/>
      <c r="BH196" s="2"/>
      <c r="BK196" s="2"/>
      <c r="BL196" s="2"/>
      <c r="BM196" s="2"/>
      <c r="BN196" s="2"/>
      <c r="BO196" s="2"/>
      <c r="BP196" s="2"/>
      <c r="BQ196" s="2"/>
      <c r="BR196" s="2"/>
      <c r="BS196" s="2"/>
      <c r="BT196" s="2"/>
      <c r="BU196" s="2"/>
      <c r="BV196" s="2"/>
      <c r="BW196" s="2"/>
      <c r="BX196" s="2"/>
      <c r="BY196" s="2"/>
      <c r="BZ196" s="2"/>
      <c r="CA196" s="2"/>
      <c r="CB196" s="2"/>
      <c r="CC196" s="2"/>
      <c r="CD196" s="2"/>
      <c r="CE196" s="2"/>
      <c r="CF196" s="2"/>
      <c r="CG196" s="2"/>
    </row>
    <row r="197" spans="6:85">
      <c r="F197" s="2"/>
      <c r="G197" s="16" t="s">
        <v>97</v>
      </c>
      <c r="H197" s="2"/>
      <c r="I197" s="2"/>
      <c r="J197" s="2"/>
      <c r="K197" s="2"/>
      <c r="L197" s="2"/>
      <c r="M197" s="2"/>
      <c r="N197" s="2"/>
      <c r="O197" s="2"/>
      <c r="P197" s="2"/>
      <c r="Q197" s="2"/>
      <c r="R197" s="2"/>
      <c r="S197" s="2"/>
      <c r="U197" s="2"/>
      <c r="V197" s="2"/>
      <c r="W197" s="2"/>
      <c r="X197" s="2"/>
      <c r="Y197" s="2"/>
      <c r="Z197" s="2"/>
      <c r="AA197" s="2"/>
      <c r="AB197" s="2"/>
      <c r="AC197" s="2"/>
      <c r="AD197" s="2"/>
      <c r="AE197" s="2"/>
      <c r="AF197" s="2"/>
      <c r="AG197" s="2"/>
      <c r="AH197" s="2"/>
      <c r="AI197" s="2"/>
      <c r="AJ197" s="2"/>
      <c r="AK197" s="2"/>
      <c r="AL197" s="2"/>
      <c r="AM197" s="2"/>
      <c r="AN197" s="2"/>
      <c r="AO197" s="2"/>
      <c r="AP197" s="2"/>
      <c r="AQ197" s="2"/>
      <c r="AR197" s="2"/>
      <c r="AS197" s="2"/>
      <c r="AT197" s="2"/>
      <c r="AU197" s="2"/>
      <c r="AW197" s="2"/>
      <c r="AX197" s="2"/>
      <c r="AY197" s="2"/>
      <c r="AZ197" s="2"/>
      <c r="BA197" s="2"/>
      <c r="BB197" s="2"/>
      <c r="BC197" s="2"/>
      <c r="BD197" s="2"/>
      <c r="BE197" s="2"/>
      <c r="BF197" s="2"/>
      <c r="BG197" s="2"/>
      <c r="BH197" s="2"/>
      <c r="BK197" s="2"/>
      <c r="BL197" s="2"/>
      <c r="BM197" s="2"/>
      <c r="BN197" s="2"/>
      <c r="BO197" s="2"/>
      <c r="BP197" s="2"/>
      <c r="BQ197" s="2"/>
      <c r="BR197" s="2"/>
      <c r="BS197" s="2"/>
      <c r="BT197" s="2"/>
      <c r="BU197" s="2"/>
      <c r="BV197" s="2"/>
      <c r="BW197" s="2"/>
      <c r="BX197" s="2"/>
      <c r="BY197" s="2"/>
      <c r="BZ197" s="2"/>
      <c r="CA197" s="2"/>
      <c r="CB197" s="2"/>
      <c r="CC197" s="2"/>
      <c r="CD197" s="2"/>
      <c r="CE197" s="2"/>
      <c r="CF197" s="2"/>
      <c r="CG197" s="2"/>
    </row>
    <row r="198" spans="6:85">
      <c r="F198" s="2"/>
      <c r="G198" s="16"/>
      <c r="H198" s="2"/>
      <c r="I198" s="2"/>
      <c r="J198" s="2"/>
      <c r="K198" s="2"/>
      <c r="L198" s="2"/>
      <c r="M198" s="2"/>
      <c r="N198" s="2"/>
      <c r="O198" s="2"/>
      <c r="P198" s="2"/>
      <c r="Q198" s="2"/>
      <c r="R198" s="2"/>
      <c r="S198" s="2"/>
      <c r="U198" s="2"/>
      <c r="V198" s="2"/>
      <c r="W198" s="2"/>
      <c r="X198" s="2"/>
      <c r="Y198" s="2"/>
      <c r="Z198" s="2"/>
      <c r="AA198" s="2"/>
      <c r="AB198" s="2"/>
      <c r="AC198" s="2"/>
      <c r="AD198" s="2"/>
      <c r="AE198" s="2"/>
      <c r="AF198" s="2"/>
      <c r="AG198" s="2"/>
      <c r="AH198" s="2"/>
      <c r="AI198" s="2"/>
      <c r="AJ198" s="2"/>
      <c r="AK198" s="2"/>
      <c r="AL198" s="2"/>
      <c r="AM198" s="2"/>
      <c r="AN198" s="2"/>
      <c r="AO198" s="2"/>
      <c r="AP198" s="2"/>
      <c r="AQ198" s="2"/>
      <c r="AR198" s="2"/>
      <c r="AS198" s="2"/>
      <c r="AT198" s="2"/>
      <c r="AU198" s="2"/>
      <c r="AW198" s="2"/>
      <c r="AX198" s="2"/>
      <c r="AY198" s="2"/>
      <c r="AZ198" s="2"/>
      <c r="BA198" s="2"/>
      <c r="BB198" s="2"/>
      <c r="BC198" s="2"/>
      <c r="BD198" s="2"/>
      <c r="BE198" s="2"/>
      <c r="BF198" s="2"/>
      <c r="BG198" s="2"/>
      <c r="BH198" s="2"/>
      <c r="BK198" s="2"/>
      <c r="BL198" s="2"/>
      <c r="BM198" s="2"/>
      <c r="BN198" s="2"/>
      <c r="BO198" s="2"/>
      <c r="BP198" s="2"/>
      <c r="BQ198" s="2"/>
      <c r="BR198" s="2"/>
      <c r="BS198" s="2"/>
      <c r="BT198" s="2"/>
      <c r="BU198" s="2"/>
      <c r="BV198" s="2"/>
      <c r="BW198" s="2"/>
      <c r="BX198" s="2"/>
      <c r="BY198" s="2"/>
      <c r="BZ198" s="2"/>
      <c r="CA198" s="2"/>
      <c r="CB198" s="2"/>
      <c r="CC198" s="2"/>
      <c r="CD198" s="2"/>
      <c r="CE198" s="2"/>
      <c r="CF198" s="2"/>
      <c r="CG198" s="2"/>
    </row>
    <row r="199" spans="6:85">
      <c r="F199" s="2" t="s">
        <v>98</v>
      </c>
      <c r="G199" s="16"/>
      <c r="H199" s="2"/>
      <c r="I199" s="2"/>
      <c r="J199" s="2"/>
      <c r="K199" s="2"/>
      <c r="L199" s="2"/>
      <c r="M199" s="2"/>
      <c r="N199" s="2"/>
      <c r="O199" s="2"/>
      <c r="P199" s="2"/>
      <c r="Q199" s="2"/>
      <c r="R199" s="2"/>
      <c r="S199" s="2"/>
      <c r="U199" s="2"/>
      <c r="V199" s="2"/>
      <c r="W199" s="2"/>
      <c r="X199" s="2"/>
      <c r="Y199" s="2"/>
      <c r="Z199" s="2"/>
      <c r="AA199" s="2"/>
      <c r="AB199" s="2"/>
      <c r="AC199" s="2"/>
      <c r="AD199" s="2"/>
      <c r="AE199" s="2"/>
      <c r="AF199" s="2"/>
      <c r="AG199" s="2"/>
      <c r="AH199" s="2"/>
      <c r="AI199" s="2"/>
      <c r="AJ199" s="2"/>
      <c r="AK199" s="2"/>
      <c r="AL199" s="2"/>
      <c r="AM199" s="2"/>
      <c r="AN199" s="2"/>
      <c r="AO199" s="2"/>
      <c r="AP199" s="2"/>
      <c r="AQ199" s="2"/>
      <c r="AR199" s="2"/>
      <c r="AS199" s="2"/>
      <c r="AT199" s="2"/>
      <c r="AU199" s="2"/>
      <c r="AW199" s="2"/>
      <c r="AX199" s="2"/>
      <c r="AY199" s="2"/>
      <c r="AZ199" s="2"/>
      <c r="BA199" s="2"/>
      <c r="BB199" s="2"/>
      <c r="BC199" s="2"/>
      <c r="BD199" s="2"/>
      <c r="BE199" s="2"/>
      <c r="BF199" s="2"/>
      <c r="BG199" s="2"/>
      <c r="BH199" s="2"/>
      <c r="BK199" s="2"/>
      <c r="BL199" s="2"/>
      <c r="BM199" s="2"/>
      <c r="BN199" s="2"/>
      <c r="BO199" s="2"/>
      <c r="BP199" s="2"/>
      <c r="BQ199" s="2"/>
      <c r="BR199" s="2"/>
      <c r="BS199" s="2"/>
      <c r="BT199" s="2"/>
      <c r="BU199" s="2"/>
      <c r="BV199" s="2"/>
      <c r="BW199" s="2"/>
      <c r="BX199" s="2"/>
      <c r="BY199" s="2"/>
      <c r="BZ199" s="2"/>
      <c r="CA199" s="2"/>
      <c r="CB199" s="2"/>
      <c r="CC199" s="2"/>
      <c r="CD199" s="2"/>
      <c r="CE199" s="2"/>
      <c r="CF199" s="2"/>
      <c r="CG199" s="2"/>
    </row>
    <row r="200" spans="6:85">
      <c r="F200" s="2" t="s">
        <v>99</v>
      </c>
      <c r="G200" s="16"/>
      <c r="H200" s="2"/>
      <c r="I200" s="2"/>
      <c r="J200" s="2"/>
      <c r="K200" s="2"/>
      <c r="L200" s="2"/>
      <c r="M200" s="2"/>
      <c r="N200" s="2"/>
      <c r="O200" s="2"/>
      <c r="P200" s="2"/>
      <c r="Q200" s="2"/>
      <c r="R200" s="2"/>
      <c r="S200" s="2"/>
      <c r="U200" s="2"/>
      <c r="V200" s="2"/>
      <c r="W200" s="2"/>
      <c r="X200" s="2"/>
      <c r="Y200" s="2"/>
      <c r="Z200" s="2"/>
      <c r="AA200" s="2"/>
      <c r="AB200" s="2"/>
      <c r="AC200" s="2"/>
      <c r="AD200" s="2"/>
      <c r="AE200" s="2"/>
      <c r="AF200" s="2"/>
      <c r="AG200" s="2"/>
      <c r="AH200" s="2"/>
      <c r="AI200" s="2"/>
      <c r="AJ200" s="2"/>
      <c r="AK200" s="2"/>
      <c r="AL200" s="2"/>
      <c r="AM200" s="2"/>
      <c r="AN200" s="2"/>
      <c r="AO200" s="2"/>
      <c r="AP200" s="2"/>
      <c r="AQ200" s="2"/>
      <c r="AR200" s="2"/>
      <c r="AS200" s="2"/>
      <c r="AT200" s="2"/>
      <c r="AU200" s="2"/>
      <c r="AW200" s="2"/>
      <c r="AX200" s="2"/>
      <c r="AY200" s="2"/>
      <c r="AZ200" s="2"/>
      <c r="BA200" s="2"/>
      <c r="BB200" s="2"/>
      <c r="BC200" s="2"/>
      <c r="BD200" s="2"/>
      <c r="BE200" s="2"/>
      <c r="BF200" s="2"/>
      <c r="BG200" s="2"/>
      <c r="BH200" s="2"/>
      <c r="BK200" s="2"/>
      <c r="BL200" s="2"/>
      <c r="BM200" s="2"/>
      <c r="BN200" s="2"/>
      <c r="BO200" s="2"/>
      <c r="BP200" s="2"/>
      <c r="BQ200" s="2"/>
      <c r="BR200" s="2"/>
      <c r="BS200" s="2"/>
      <c r="BT200" s="2"/>
      <c r="BU200" s="2"/>
      <c r="BV200" s="2"/>
      <c r="BW200" s="2"/>
      <c r="BX200" s="2"/>
      <c r="BY200" s="2"/>
      <c r="BZ200" s="2"/>
      <c r="CA200" s="2"/>
      <c r="CB200" s="2"/>
      <c r="CC200" s="2"/>
      <c r="CD200" s="2"/>
      <c r="CE200" s="2"/>
      <c r="CF200" s="2"/>
      <c r="CG200" s="2"/>
    </row>
    <row r="201" spans="6:85">
      <c r="F201" s="2"/>
      <c r="G201" s="2"/>
      <c r="H201" s="2"/>
      <c r="I201" s="2"/>
      <c r="J201" s="2"/>
      <c r="K201" s="2"/>
      <c r="L201" s="2"/>
      <c r="M201" s="2"/>
      <c r="N201" s="2"/>
      <c r="O201" s="2"/>
      <c r="P201" s="2"/>
      <c r="Q201" s="2"/>
      <c r="R201" s="2"/>
      <c r="S201" s="2"/>
      <c r="U201" s="2"/>
      <c r="V201" s="2"/>
      <c r="W201" s="2"/>
      <c r="X201" s="2"/>
      <c r="Y201" s="2"/>
      <c r="Z201" s="2"/>
      <c r="AA201" s="2"/>
      <c r="AB201" s="2"/>
      <c r="AC201" s="2"/>
      <c r="AD201" s="2"/>
      <c r="AE201" s="2"/>
      <c r="AF201" s="2"/>
      <c r="AG201" s="2"/>
      <c r="AH201" s="2"/>
      <c r="AI201" s="2"/>
      <c r="AJ201" s="2"/>
      <c r="AK201" s="2"/>
      <c r="AL201" s="2"/>
      <c r="AM201" s="2"/>
      <c r="AN201" s="2"/>
      <c r="AO201" s="2"/>
      <c r="AP201" s="2"/>
      <c r="AQ201" s="2"/>
      <c r="AR201" s="2"/>
      <c r="AS201" s="2"/>
      <c r="AT201" s="2"/>
      <c r="AU201" s="2"/>
      <c r="AW201" s="2"/>
      <c r="AX201" s="2"/>
      <c r="AY201" s="2"/>
      <c r="AZ201" s="2"/>
      <c r="BA201" s="2"/>
      <c r="BB201" s="2"/>
      <c r="BC201" s="2"/>
      <c r="BD201" s="2"/>
      <c r="BE201" s="2"/>
      <c r="BF201" s="2"/>
      <c r="BG201" s="2"/>
      <c r="BH201" s="2"/>
      <c r="BK201" s="2"/>
      <c r="BL201" s="2"/>
      <c r="BM201" s="2"/>
      <c r="BN201" s="2"/>
      <c r="BO201" s="2"/>
      <c r="BP201" s="2"/>
      <c r="BQ201" s="2"/>
      <c r="BR201" s="2"/>
      <c r="BS201" s="2"/>
      <c r="BT201" s="2"/>
      <c r="BU201" s="2"/>
      <c r="BV201" s="2"/>
      <c r="BW201" s="2"/>
      <c r="BX201" s="2"/>
      <c r="BY201" s="2"/>
      <c r="BZ201" s="2"/>
      <c r="CA201" s="2"/>
      <c r="CB201" s="2"/>
      <c r="CC201" s="2"/>
      <c r="CD201" s="2"/>
      <c r="CE201" s="2"/>
      <c r="CF201" s="2"/>
      <c r="CG201" s="2"/>
    </row>
  </sheetData>
  <protectedRanges>
    <protectedRange sqref="J6:O11" name="Range1"/>
  </protectedRanges>
  <mergeCells count="7">
    <mergeCell ref="F10:H11"/>
    <mergeCell ref="F12:H15"/>
    <mergeCell ref="F3:P3"/>
    <mergeCell ref="F4:P4"/>
    <mergeCell ref="F5:H5"/>
    <mergeCell ref="F6:H6"/>
    <mergeCell ref="F7:H8"/>
  </mergeCells>
  <dataValidations disablePrompts="1" count="22">
    <dataValidation type="whole" operator="greaterThanOrEqual" allowBlank="1" showInputMessage="1" showErrorMessage="1" errorTitle="Negalima reikšmė" error="Projektinis TP skaičius būti tik teigiamas sveikas skaičius." sqref="J11:O11" xr:uid="{B01E3C20-5821-4B04-9982-AAFD789FB40D}">
      <formula1>0</formula1>
    </dataValidation>
    <dataValidation type="decimal" operator="greaterThanOrEqual" allowBlank="1" showInputMessage="1" showErrorMessage="1" errorTitle="Negalima reikšmė" error="Įgyvendinimo laikotarpio reikšmė gali būti tik teigiamas skaičius." sqref="J6:O6" xr:uid="{31999DE9-0824-4DD9-98A2-58433E2E3CBF}">
      <formula1>1</formula1>
    </dataValidation>
    <dataValidation type="whole" operator="greaterThanOrEqual" allowBlank="1" showInputMessage="1" showErrorMessage="1" errorTitle="Negalima reikšmė" error="Bazinis TP kiekis reikšmė gali būti tik teigiamas sveikas skaičius." sqref="K10:O10" xr:uid="{5ABC9BD6-2899-41A4-A703-F9BF9126BD4F}">
      <formula1>1</formula1>
    </dataValidation>
    <dataValidation type="whole" operator="greaterThan" allowBlank="1" showInputMessage="1" showErrorMessage="1" errorTitle="Negalima reikšmė" error="Bazinis TP kiekis reikšmė gali būti tik teigiamas sveikas skaičius." sqref="J10" xr:uid="{83E10E8A-70C4-4326-AE9F-AAABC0E9BA41}">
      <formula1>1</formula1>
    </dataValidation>
    <dataValidation type="list" allowBlank="1" showInputMessage="1" showErrorMessage="1" sqref="O7" xr:uid="{7B2E2AB5-D95F-4A2F-A62C-9A22DD2C34FA}">
      <formula1>$BW$23:$BW$27</formula1>
    </dataValidation>
    <dataValidation type="list" allowBlank="1" showInputMessage="1" showErrorMessage="1" sqref="N7" xr:uid="{923EAC7C-D04A-428F-AECF-FEF43338EF8A}">
      <formula1>$BL$23:$BL$27</formula1>
    </dataValidation>
    <dataValidation type="list" allowBlank="1" showInputMessage="1" showErrorMessage="1" sqref="M7" xr:uid="{646A7F4C-2F65-4B67-BC6B-644CE0ECDEE9}">
      <formula1>$AX$23:$AX$27</formula1>
    </dataValidation>
    <dataValidation type="list" allowBlank="1" showInputMessage="1" showErrorMessage="1" sqref="L7" xr:uid="{4DC2737A-594A-4759-BC7F-4FF7C09E9842}">
      <formula1>$AJ$23:$AJ$27</formula1>
    </dataValidation>
    <dataValidation type="list" allowBlank="1" showInputMessage="1" showErrorMessage="1" sqref="K7" xr:uid="{5605FE7F-3E19-4314-A79A-727C07E05153}">
      <formula1>$V$23:$V$27</formula1>
    </dataValidation>
    <dataValidation type="list" allowBlank="1" showInputMessage="1" showErrorMessage="1" sqref="J7" xr:uid="{C2870F00-14FC-4F55-AA7D-3B270D001488}">
      <formula1>$G$23:$G$27</formula1>
    </dataValidation>
    <dataValidation type="list" allowBlank="1" showInputMessage="1" showErrorMessage="1" sqref="O8" xr:uid="{8652E5DF-EDEE-4444-9919-2DCBCBBD7109}">
      <formula1>IF($CA$23=1, $BW$46:$BW$48, IF($CA$23=2, $BW$99:$BW$100, IF($CA$23=3, $BW$129:$BW$133, IF($CA$23=4, $BW$170:$BW$171, $M$23))))</formula1>
    </dataValidation>
    <dataValidation type="list" allowBlank="1" showInputMessage="1" showErrorMessage="1" sqref="N8" xr:uid="{920E2280-C2D0-48CA-BE70-BE0202F1D568}">
      <formula1>IF($BP$23=1, $BL$46:$BL$48, IF($BP$23=2, $BL$99:$BL$100, IF($BP$23=3, $BL$129:$BL$133, IF($BP$23=4, $BL$170:$BL$171, $M$23))))</formula1>
    </dataValidation>
    <dataValidation type="list" allowBlank="1" showInputMessage="1" showErrorMessage="1" sqref="M8" xr:uid="{9410E416-2E0C-4F99-93C3-9CBBAA6B7DF2}">
      <formula1>IF($BB$23=1, $AX$55:$AX$57, IF($BB$23=2, $AX$99:$AX$100, IF($BB$23=3, $AX$129:$AX$133, IF($BB$23=4, $AX$170:$AX$171,$M$23))))</formula1>
    </dataValidation>
    <dataValidation type="list" allowBlank="1" showInputMessage="1" showErrorMessage="1" sqref="L8" xr:uid="{DF7F050E-CFF3-40A3-8C89-91A031E229F4}">
      <formula1>IF($AN$23=1, $AJ$46:$AJ$48, IF($AN$23=2, $AJ$99:$AJ$100, IF($AN$23=3, $AJ$129:$AJ$133, IF($AN$23=4, $AJ$170:$AJ$171, $M$23))))</formula1>
    </dataValidation>
    <dataValidation type="list" allowBlank="1" showInputMessage="1" showErrorMessage="1" sqref="K8" xr:uid="{08051272-D721-4860-A432-793D7B73BACA}">
      <formula1>IF($Z$23=1, $V$46:$V$48, IF($Z$23=2, $V$99:$V$100, IF($Z$23=3,$V$129:$V$133, IF($Z$23=4, $V$170:$V$171,$M$23))))</formula1>
    </dataValidation>
    <dataValidation type="list" allowBlank="1" showInputMessage="1" showErrorMessage="1" sqref="J9" xr:uid="{0E0733D7-2950-4D5B-B824-8F3AB7B6D711}">
      <formula1>IF(K23=1,IF(J46=1,$G$32:$G$40,IF(J46=2, $G$32:$G$40, IF(J46=3, $L$32:$L$38,""))),IF(K23=2,$G$87:$G$95,IF(K23=3,IF($K$129=1,$G$118,$L$118:$L$125), IF(K23=4, $G$160:$G$167,$M$23))))</formula1>
    </dataValidation>
    <dataValidation type="list" allowBlank="1" showInputMessage="1" showErrorMessage="1" sqref="J8" xr:uid="{518009A1-6BB0-4467-B23C-7BFAE59D7ABB}">
      <formula1>IF($K$23=1, $G$46:$G$48, IF($K$23=2, $G$99:$G$100, IF($K$23=3, $G$129:$G$133, IF($K$23=4, $G$170:$G$171, M23))))</formula1>
    </dataValidation>
    <dataValidation type="list" allowBlank="1" showInputMessage="1" showErrorMessage="1" sqref="K9" xr:uid="{61AB1F73-0EB0-439E-9CA2-F2D006AFC8E2}">
      <formula1>IF(Z23=1,IF(Y46=1,$V$32:$V$40,IF(Y46=2, $V$32:$V$40, IF(Y46=3, $AA$32:$AA$38,""))),IF(Z23=2,$V$88:$V$96,IF(Z23=3,IF($Z$129=1,$V$118,$AA$118:$AA$125), IF(Z23=4, $V$160:$V$167,$M$23))))</formula1>
    </dataValidation>
    <dataValidation type="list" allowBlank="1" showInputMessage="1" showErrorMessage="1" sqref="L9" xr:uid="{A769E86A-FACC-4CB0-9C91-FC4E508CDCED}">
      <formula1>IF(AN23=1,IF(AM46=1,$AJ$31:$AJ$39,IF(AM46=2, $AJ$31:$AJ$39, IF(AM46=3, $AO$31:$AO$37,""))),IF(AN23=2,$AJ$88:$AJ$96,IF(AN23=3,IF($AN$129=1,$AJ$118,$AO$118:$AO$125), IF(AN23=4, $AJ$160:$AJ$167,$M$23))))</formula1>
    </dataValidation>
    <dataValidation type="list" allowBlank="1" showInputMessage="1" showErrorMessage="1" sqref="M9" xr:uid="{913F0F7C-6F32-4219-9D03-593D1D140AEB}">
      <formula1>IF(BB23=1,IF(BA46=1,$AX$31:$AX$39,IF(BA46=2, $AX$31:$AX$39, IF(BA46=3, $BC$31:$BC$37,""))),IF(BB23=2,$AX$88:$AX$96,IF(BB23=3,IF($BB$129=1,$AX$118,$BC$118:$BC$125), IF(BB23=4, $AX$160:$AX$167,$M$23))))</formula1>
    </dataValidation>
    <dataValidation type="list" allowBlank="1" showInputMessage="1" showErrorMessage="1" sqref="N9" xr:uid="{1B4E578C-3F4C-4B35-8930-9E2A5A300B69}">
      <formula1>IF(BP23=1,IF(BO46=1,$BL$30:$BL$38,IF(BO46=2, $BL$30:$BL$38, IF(BO46=3, $BQ$30:$BQ$36,""))),IF(BP23=2,$BL$88:$BL$96,IF(BP23=3,IF($BP$129=1,$BL$118,$BQ$118:$BQ$125), IF(BP23=4, $BL$160:$BL$167,$M$23))))</formula1>
    </dataValidation>
    <dataValidation type="list" allowBlank="1" showInputMessage="1" showErrorMessage="1" sqref="O9" xr:uid="{D96D091D-44AD-4ECF-8927-1B83CFB258B9}">
      <formula1>IF(CA23=1,IF(BZ46=1,$BW$30:$BW$38,IF(BZ46=2, $BW$30:$BW$38, IF(BZ46=3, $CB$30:$CB$36,""))),IF(CA23=2,$BW$88:$BW$96,IF(CA23=3,IF($CA$129=1,$BW$118,$CB$118:$CB$125), IF(CA23=4, $BW$160:$BW$167,$M$23))))</formula1>
    </dataValidation>
  </dataValidations>
  <pageMargins left="0.7" right="0.7" top="0.75" bottom="0.75" header="0.3" footer="0.3"/>
  <drawing r:id="rId1"/>
  <legacy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635F92B-8B3A-4E35-8640-FF6E1FC530EC}">
  <dimension ref="A1"/>
  <sheetViews>
    <sheetView topLeftCell="A22" zoomScale="70" zoomScaleNormal="70" workbookViewId="0"/>
  </sheetViews>
  <sheetFormatPr defaultColWidth="9.140625" defaultRowHeight="15"/>
  <cols>
    <col min="1" max="16384" width="9.140625" style="1"/>
  </cols>
  <sheetData/>
  <sheetProtection algorithmName="SHA-512" hashValue="YJq15vUL2WUkWbZyX8svN4XnS9ni6iw3oM+CF/2qrBGLAIRTFBC4EXeWa8+vyNcXnvTgGWjGd3zorv3wxT6ziw==" saltValue="qwd+qv0jMeyXHelYAR+Vsg==" spinCount="100000" sheet="1" objects="1" scenarios="1"/>
  <pageMargins left="0.7" right="0.7" top="0.75" bottom="0.75" header="0.3" footer="0.3"/>
  <drawing r:id="rId1"/>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DF146FB-D7BB-4E82-83E9-73EDD76B749D}">
  <dimension ref="B2:BM440"/>
  <sheetViews>
    <sheetView tabSelected="1" topLeftCell="A6" zoomScale="70" zoomScaleNormal="70" workbookViewId="0">
      <selection activeCell="I31" sqref="I31"/>
    </sheetView>
  </sheetViews>
  <sheetFormatPr defaultColWidth="9.140625" defaultRowHeight="15"/>
  <cols>
    <col min="1" max="4" width="9.140625" style="1"/>
    <col min="5" max="5" width="2.5703125" style="1" customWidth="1"/>
    <col min="6" max="7" width="9.140625" style="1"/>
    <col min="8" max="8" width="11.5703125" style="1" customWidth="1"/>
    <col min="9" max="9" width="32.42578125" style="1" customWidth="1"/>
    <col min="10" max="10" width="17.7109375" style="1" customWidth="1"/>
    <col min="11" max="11" width="18.42578125" style="1" customWidth="1"/>
    <col min="12" max="12" width="17.5703125" style="1" customWidth="1"/>
    <col min="13" max="13" width="18.5703125" style="1" customWidth="1"/>
    <col min="14" max="14" width="11.5703125" style="1" hidden="1" customWidth="1"/>
    <col min="15" max="15" width="13.140625" style="1" hidden="1" customWidth="1"/>
    <col min="16" max="16" width="13.28515625" style="1" customWidth="1"/>
    <col min="17" max="17" width="8.5703125" style="1" customWidth="1"/>
    <col min="18" max="18" width="2.28515625" style="1" customWidth="1"/>
    <col min="19" max="27" width="9.140625" style="1"/>
    <col min="28" max="28" width="11.85546875" style="1" customWidth="1"/>
    <col min="29" max="29" width="14" style="1" customWidth="1"/>
    <col min="30" max="30" width="12" style="1" bestFit="1" customWidth="1"/>
    <col min="31" max="36" width="9.140625" style="1"/>
    <col min="37" max="37" width="13.28515625" style="1" customWidth="1"/>
    <col min="38" max="41" width="9.140625" style="1"/>
    <col min="42" max="42" width="11" style="1" bestFit="1" customWidth="1"/>
    <col min="43" max="44" width="12" style="1" bestFit="1" customWidth="1"/>
    <col min="45" max="53" width="9.140625" style="1"/>
    <col min="54" max="54" width="9.140625" style="1" customWidth="1"/>
    <col min="55" max="55" width="9.140625" style="1"/>
    <col min="56" max="56" width="11" style="1" bestFit="1" customWidth="1"/>
    <col min="57" max="58" width="12" style="1" bestFit="1" customWidth="1"/>
    <col min="59" max="16384" width="9.140625" style="1"/>
  </cols>
  <sheetData>
    <row r="2" spans="2:65" ht="27" customHeight="1">
      <c r="E2" s="47"/>
      <c r="F2" s="46"/>
      <c r="G2" s="46"/>
      <c r="H2" s="46"/>
      <c r="I2" s="46"/>
      <c r="J2" s="46"/>
      <c r="K2" s="46"/>
      <c r="L2" s="46"/>
      <c r="M2" s="46"/>
      <c r="N2" s="46"/>
      <c r="O2" s="46"/>
      <c r="P2" s="46"/>
      <c r="Q2" s="45"/>
      <c r="R2" s="48"/>
      <c r="S2" s="47"/>
      <c r="T2" s="46"/>
      <c r="U2" s="46"/>
      <c r="V2" s="46"/>
      <c r="W2" s="46"/>
      <c r="X2" s="46"/>
      <c r="Y2" s="46"/>
      <c r="Z2" s="46"/>
      <c r="AA2" s="46"/>
      <c r="AB2" s="46"/>
      <c r="AC2" s="45"/>
    </row>
    <row r="3" spans="2:65">
      <c r="E3" s="27"/>
      <c r="F3" s="291"/>
      <c r="G3" s="292"/>
      <c r="H3" s="292"/>
      <c r="I3" s="292"/>
      <c r="J3" s="292"/>
      <c r="K3" s="292"/>
      <c r="L3" s="292"/>
      <c r="M3" s="292"/>
      <c r="N3" s="292"/>
      <c r="O3" s="292"/>
      <c r="P3" s="293"/>
      <c r="Q3" s="44"/>
      <c r="R3" s="49"/>
      <c r="S3" s="149"/>
      <c r="T3" s="48"/>
      <c r="U3" s="48"/>
      <c r="V3" s="48"/>
      <c r="W3" s="48"/>
      <c r="X3" s="48"/>
      <c r="Y3" s="48"/>
      <c r="Z3" s="48"/>
      <c r="AA3" s="48"/>
      <c r="AB3" s="48"/>
      <c r="AC3" s="22"/>
    </row>
    <row r="4" spans="2:65" ht="15.75" thickBot="1">
      <c r="B4" s="43"/>
      <c r="E4" s="27"/>
      <c r="F4" s="297" t="s">
        <v>100</v>
      </c>
      <c r="G4" s="298"/>
      <c r="H4" s="298"/>
      <c r="I4" s="298"/>
      <c r="J4" s="298"/>
      <c r="K4" s="298"/>
      <c r="L4" s="298"/>
      <c r="M4" s="298"/>
      <c r="N4" s="298"/>
      <c r="O4" s="147"/>
      <c r="P4" s="168"/>
      <c r="Q4" s="22"/>
      <c r="R4" s="48"/>
      <c r="S4" s="27"/>
      <c r="T4" s="48"/>
      <c r="U4" s="48"/>
      <c r="V4" s="48"/>
      <c r="W4" s="48"/>
      <c r="X4" s="48"/>
      <c r="Y4" s="48"/>
      <c r="Z4" s="48"/>
      <c r="AA4" s="48"/>
      <c r="AB4" s="48"/>
      <c r="AC4" s="22"/>
    </row>
    <row r="5" spans="2:65">
      <c r="E5" s="27"/>
      <c r="F5" s="299"/>
      <c r="G5" s="300"/>
      <c r="H5" s="300"/>
      <c r="I5" s="300"/>
      <c r="J5" s="300"/>
      <c r="K5" s="300"/>
      <c r="L5" s="300"/>
      <c r="M5" s="300"/>
      <c r="N5" s="300"/>
      <c r="O5" s="152" t="s">
        <v>9</v>
      </c>
      <c r="P5" s="169"/>
      <c r="Q5" s="22"/>
      <c r="R5" s="48"/>
      <c r="S5" s="27"/>
      <c r="T5" s="48"/>
      <c r="U5" s="48"/>
      <c r="V5" s="48"/>
      <c r="W5" s="48"/>
      <c r="X5" s="48"/>
      <c r="Y5" s="48"/>
      <c r="Z5" s="48"/>
      <c r="AA5" s="48"/>
      <c r="AB5" s="48"/>
      <c r="AC5" s="22"/>
    </row>
    <row r="6" spans="2:65" ht="15.75" customHeight="1">
      <c r="E6" s="27"/>
      <c r="F6" s="302" t="s">
        <v>11</v>
      </c>
      <c r="G6" s="303"/>
      <c r="H6" s="303"/>
      <c r="I6" s="304"/>
      <c r="J6" s="170" t="s">
        <v>4</v>
      </c>
      <c r="K6" s="171" t="s">
        <v>5</v>
      </c>
      <c r="L6" s="171" t="s">
        <v>6</v>
      </c>
      <c r="M6" s="171" t="s">
        <v>7</v>
      </c>
      <c r="N6" s="171" t="s">
        <v>8</v>
      </c>
      <c r="O6" s="171" t="s">
        <v>9</v>
      </c>
      <c r="P6" s="172" t="s">
        <v>10</v>
      </c>
      <c r="Q6" s="22"/>
      <c r="R6" s="48"/>
      <c r="S6" s="27"/>
      <c r="T6" s="48"/>
      <c r="U6" s="48"/>
      <c r="V6" s="48"/>
      <c r="W6" s="48"/>
      <c r="X6" s="48"/>
      <c r="Y6" s="48"/>
      <c r="Z6" s="48"/>
      <c r="AC6" s="150"/>
    </row>
    <row r="7" spans="2:65" ht="21.95" customHeight="1">
      <c r="E7" s="27"/>
      <c r="F7" s="294" t="s">
        <v>101</v>
      </c>
      <c r="G7" s="295"/>
      <c r="H7" s="296"/>
      <c r="I7" s="173" t="s">
        <v>102</v>
      </c>
      <c r="J7" s="174">
        <v>1</v>
      </c>
      <c r="K7" s="175">
        <v>1</v>
      </c>
      <c r="L7" s="176">
        <v>1</v>
      </c>
      <c r="M7" s="176">
        <v>1</v>
      </c>
      <c r="N7" s="176"/>
      <c r="O7" s="176"/>
      <c r="P7" s="177" t="s">
        <v>13</v>
      </c>
      <c r="Q7" s="22"/>
      <c r="R7" s="48"/>
      <c r="S7" s="27"/>
      <c r="T7" s="48"/>
      <c r="U7" s="48"/>
      <c r="V7" s="48"/>
      <c r="W7" s="48"/>
      <c r="X7" s="48"/>
      <c r="Y7" s="48"/>
      <c r="Z7" s="48"/>
      <c r="AC7" s="150"/>
    </row>
    <row r="8" spans="2:65" ht="62.25" customHeight="1">
      <c r="E8" s="27"/>
      <c r="F8" s="301" t="s">
        <v>14</v>
      </c>
      <c r="G8" s="301"/>
      <c r="H8" s="301"/>
      <c r="I8" s="178" t="s">
        <v>103</v>
      </c>
      <c r="J8" s="179" t="s">
        <v>104</v>
      </c>
      <c r="K8" s="180" t="s">
        <v>104</v>
      </c>
      <c r="L8" s="180" t="s">
        <v>104</v>
      </c>
      <c r="M8" s="180" t="s">
        <v>104</v>
      </c>
      <c r="N8" s="180" t="s">
        <v>13</v>
      </c>
      <c r="O8" s="180" t="s">
        <v>13</v>
      </c>
      <c r="P8" s="181" t="s">
        <v>13</v>
      </c>
      <c r="Q8" s="22"/>
      <c r="R8" s="48"/>
      <c r="S8" s="27"/>
      <c r="T8" s="48"/>
      <c r="U8" s="48"/>
      <c r="V8" s="48"/>
      <c r="W8" s="48"/>
      <c r="X8" s="48"/>
      <c r="Y8" s="48"/>
      <c r="Z8" s="48"/>
      <c r="AC8" s="150"/>
    </row>
    <row r="9" spans="2:65" ht="44.25" customHeight="1">
      <c r="E9" s="27"/>
      <c r="F9" s="301" t="s">
        <v>23</v>
      </c>
      <c r="G9" s="301"/>
      <c r="H9" s="301"/>
      <c r="I9" s="178" t="s">
        <v>105</v>
      </c>
      <c r="J9" s="179" t="s">
        <v>106</v>
      </c>
      <c r="K9" s="180" t="s">
        <v>106</v>
      </c>
      <c r="L9" s="180" t="s">
        <v>106</v>
      </c>
      <c r="M9" s="180" t="s">
        <v>106</v>
      </c>
      <c r="N9" s="180" t="s">
        <v>13</v>
      </c>
      <c r="O9" s="180" t="s">
        <v>13</v>
      </c>
      <c r="P9" s="181" t="s">
        <v>13</v>
      </c>
      <c r="Q9" s="22"/>
      <c r="R9" s="48"/>
      <c r="S9" s="27"/>
      <c r="T9" s="48"/>
      <c r="U9" s="48"/>
      <c r="V9" s="48"/>
      <c r="W9" s="48"/>
      <c r="X9" s="48"/>
      <c r="Y9" s="48"/>
      <c r="Z9" s="48"/>
      <c r="AC9" s="150"/>
    </row>
    <row r="10" spans="2:65" ht="30" customHeight="1">
      <c r="E10" s="27"/>
      <c r="F10" s="301"/>
      <c r="G10" s="301"/>
      <c r="H10" s="301"/>
      <c r="I10" s="182" t="s">
        <v>107</v>
      </c>
      <c r="J10" s="183" t="s">
        <v>21</v>
      </c>
      <c r="K10" s="184" t="s">
        <v>21</v>
      </c>
      <c r="L10" s="185" t="s">
        <v>21</v>
      </c>
      <c r="M10" s="185" t="s">
        <v>21</v>
      </c>
      <c r="N10" s="180" t="s">
        <v>13</v>
      </c>
      <c r="O10" s="180" t="s">
        <v>13</v>
      </c>
      <c r="P10" s="181" t="s">
        <v>13</v>
      </c>
      <c r="Q10" s="22"/>
      <c r="R10" s="48"/>
      <c r="S10" s="27"/>
      <c r="T10" s="48"/>
      <c r="U10" s="48"/>
      <c r="V10" s="48"/>
      <c r="W10" s="48"/>
      <c r="X10" s="48"/>
      <c r="Y10" s="48"/>
      <c r="Z10" s="48"/>
      <c r="AC10" s="150"/>
    </row>
    <row r="11" spans="2:65" s="48" customFormat="1">
      <c r="E11" s="27"/>
      <c r="F11" s="301"/>
      <c r="G11" s="301"/>
      <c r="H11" s="301"/>
      <c r="I11" s="186" t="s">
        <v>108</v>
      </c>
      <c r="J11" s="187" t="s">
        <v>63</v>
      </c>
      <c r="K11" s="188" t="s">
        <v>63</v>
      </c>
      <c r="L11" s="189" t="s">
        <v>63</v>
      </c>
      <c r="M11" s="189" t="s">
        <v>63</v>
      </c>
      <c r="N11" s="180"/>
      <c r="O11" s="180"/>
      <c r="P11" s="190" t="s">
        <v>13</v>
      </c>
      <c r="Q11" s="22"/>
      <c r="S11" s="27"/>
      <c r="AC11" s="22"/>
      <c r="AD11" s="1"/>
      <c r="AE11" s="1"/>
      <c r="AF11" s="1"/>
      <c r="AG11" s="1"/>
      <c r="AH11" s="1"/>
      <c r="AI11" s="1"/>
      <c r="AJ11" s="1"/>
      <c r="AK11" s="1"/>
      <c r="AL11" s="1"/>
      <c r="AM11" s="1"/>
      <c r="AN11" s="1"/>
      <c r="AO11" s="1"/>
      <c r="AP11" s="1"/>
      <c r="AQ11" s="1"/>
      <c r="AR11" s="1"/>
      <c r="AS11" s="1"/>
      <c r="AT11" s="1"/>
      <c r="AU11" s="1"/>
      <c r="AV11" s="1"/>
      <c r="AW11" s="1"/>
      <c r="AX11" s="1"/>
      <c r="AY11" s="1"/>
      <c r="AZ11" s="1"/>
      <c r="BA11" s="1"/>
      <c r="BB11" s="1"/>
      <c r="BC11" s="1"/>
      <c r="BD11" s="1"/>
      <c r="BE11" s="1"/>
      <c r="BF11" s="1"/>
      <c r="BG11" s="1"/>
      <c r="BH11" s="1"/>
      <c r="BI11" s="1"/>
      <c r="BJ11" s="1"/>
      <c r="BK11" s="1"/>
      <c r="BL11" s="1"/>
      <c r="BM11" s="1"/>
    </row>
    <row r="12" spans="2:65" s="48" customFormat="1" ht="30" customHeight="1">
      <c r="E12" s="27"/>
      <c r="F12" s="301"/>
      <c r="G12" s="301"/>
      <c r="H12" s="301"/>
      <c r="I12" s="178" t="s">
        <v>109</v>
      </c>
      <c r="J12" s="179" t="s">
        <v>110</v>
      </c>
      <c r="K12" s="180" t="s">
        <v>110</v>
      </c>
      <c r="L12" s="180" t="s">
        <v>110</v>
      </c>
      <c r="M12" s="180" t="s">
        <v>110</v>
      </c>
      <c r="N12" s="180"/>
      <c r="O12" s="180"/>
      <c r="P12" s="190" t="s">
        <v>13</v>
      </c>
      <c r="Q12" s="22"/>
      <c r="S12" s="27"/>
      <c r="AC12" s="22"/>
      <c r="AD12" s="1"/>
      <c r="AE12" s="1"/>
      <c r="AF12" s="1"/>
      <c r="AG12" s="1"/>
      <c r="AH12" s="1"/>
      <c r="AI12" s="1"/>
      <c r="AJ12" s="1"/>
      <c r="AK12" s="1"/>
      <c r="AL12" s="1"/>
      <c r="AM12" s="1"/>
      <c r="AN12" s="1"/>
      <c r="AO12" s="1"/>
      <c r="AP12" s="1"/>
      <c r="AQ12" s="1"/>
      <c r="AR12" s="1"/>
      <c r="AS12" s="1"/>
      <c r="AT12" s="1"/>
      <c r="AU12" s="1"/>
      <c r="AV12" s="1"/>
      <c r="AW12" s="1"/>
      <c r="AX12" s="1"/>
      <c r="AY12" s="1"/>
      <c r="AZ12" s="1"/>
      <c r="BA12" s="1"/>
      <c r="BB12" s="1"/>
      <c r="BC12" s="1"/>
      <c r="BD12" s="1"/>
      <c r="BE12" s="1"/>
      <c r="BF12" s="1"/>
      <c r="BG12" s="1"/>
      <c r="BH12" s="1"/>
      <c r="BI12" s="1"/>
      <c r="BJ12" s="1"/>
      <c r="BK12" s="1"/>
      <c r="BL12" s="1"/>
      <c r="BM12" s="1"/>
    </row>
    <row r="13" spans="2:65" ht="26.1" customHeight="1" thickBot="1">
      <c r="E13" s="27"/>
      <c r="F13" s="282" t="s">
        <v>14</v>
      </c>
      <c r="G13" s="283"/>
      <c r="H13" s="284"/>
      <c r="I13" s="191" t="s">
        <v>111</v>
      </c>
      <c r="J13" s="192">
        <v>50000</v>
      </c>
      <c r="K13" s="192">
        <v>50000</v>
      </c>
      <c r="L13" s="192">
        <v>50000</v>
      </c>
      <c r="M13" s="192">
        <v>50000</v>
      </c>
      <c r="N13" s="193"/>
      <c r="O13" s="193"/>
      <c r="P13" s="194" t="s">
        <v>13</v>
      </c>
      <c r="Q13" s="22"/>
      <c r="R13" s="48"/>
      <c r="S13" s="27"/>
      <c r="T13" s="48"/>
      <c r="U13" s="48"/>
      <c r="V13" s="48"/>
      <c r="W13" s="48"/>
      <c r="X13" s="48"/>
      <c r="Y13" s="48"/>
      <c r="Z13" s="48"/>
      <c r="AC13" s="150"/>
    </row>
    <row r="14" spans="2:65" ht="15" hidden="1" customHeight="1" thickBot="1">
      <c r="E14" s="27"/>
      <c r="F14" s="195"/>
      <c r="G14" s="196"/>
      <c r="H14" s="197"/>
      <c r="I14" s="198" t="s">
        <v>25</v>
      </c>
      <c r="J14" s="199">
        <v>0</v>
      </c>
      <c r="K14" s="200">
        <v>0</v>
      </c>
      <c r="L14" s="201">
        <v>0</v>
      </c>
      <c r="M14" s="201">
        <v>0</v>
      </c>
      <c r="N14" s="202">
        <v>0</v>
      </c>
      <c r="O14" s="201">
        <v>0</v>
      </c>
      <c r="P14" s="203" t="s">
        <v>13</v>
      </c>
      <c r="Q14" s="22"/>
      <c r="R14" s="48"/>
      <c r="S14" s="27"/>
      <c r="T14" s="48"/>
      <c r="U14" s="48"/>
      <c r="V14" s="48"/>
      <c r="W14" s="48"/>
      <c r="X14" s="48"/>
      <c r="Y14" s="48"/>
      <c r="Z14" s="48"/>
      <c r="AC14" s="150"/>
    </row>
    <row r="15" spans="2:65" ht="23.25" hidden="1" customHeight="1">
      <c r="E15" s="27"/>
      <c r="F15" s="276" t="s">
        <v>112</v>
      </c>
      <c r="G15" s="277"/>
      <c r="H15" s="278"/>
      <c r="I15" s="204" t="s">
        <v>113</v>
      </c>
      <c r="J15" s="205" cm="1">
        <f t="array" ref="J15">IF(K65=1,IFERROR(INDEX(N106:N108,J106,COLUMNS(J15)),"-"), IF(K65=2,IFERROR(INDEX(N230:N231,J230,COLUMNS(J15)),"-"), IF(K65=3,IFERROR(INDEX(O303:O307,K303,COLUMNS(J15)),"-"), IF(K65=4, IFERROR(INDEX(P379:P381,L379,COLUMNS(J15)),"-"), IF(K65=5, IFERROR(INDEX(P379:P381,L379,COLUMNS(J15)),"-"),"")))))</f>
        <v>7.2074999999999993E-4</v>
      </c>
      <c r="K15" s="206" cm="1">
        <f t="array" ref="K15">IF(AA65=1,IFERROR(INDEX(AD106:AD108,Z106,COLUMNS(K15)),"-"),IF(AA65=2,IFERROR(INDEX(AD230:AD231,Z230,COLUMNS(K15)),"-"),IF(AA65=3,IFERROR(INDEX(AE303:AE307,AA303,COLUMNS(K15)),"-"),IF(AA65=4,IFERROR(INDEX(AF379:AF381,AB379,COLUMNS(K15)),"-"),IF(AA65=5,IFERROR(INDEX(AF379:AF381,AB379,COLUMNS(K15)),"-"),"")))))</f>
        <v>7.2074999999999993E-4</v>
      </c>
      <c r="L15" s="206" cm="1">
        <f t="array" ref="L15">IF(AO65=1,IFERROR(INDEX(AR106:AR108,AN106,COLUMNS(L15)),"-"),IF(AO65=2,IFERROR(INDEX(AR230:AR231,AN230,COLUMNS(L15)),"-"),IF(AO65=3,IFERROR(INDEX(AS303:AS307,AO303,COLUMNS(L15)),"-"),IF(AO65=4,IFERROR(INDEX(AT379:AT381,AP379,COLUMNS(L15)),"-"),IF(AO65=5,IFERROR(INDEX(AT379:AT381,AP379,COLUMNS(L15)),"-"),"")))))</f>
        <v>7.2074999999999993E-4</v>
      </c>
      <c r="M15" s="206" cm="1">
        <f t="array" ref="M15">IF(BC65=1,IFERROR(INDEX(BF106:BF108,BB106,COLUMNS(M15)),"-"),IF(BC65=2,IFERROR(INDEX(BF230:BF231,BB230,COLUMNS(M15)),"-"),IF(BC65=3,IFERROR(INDEX(BG303:BG307,BC303,COLUMNS(M15)),"-"),IF(BC65=4,IFERROR(INDEX(BH379:BH381,BD379,COLUMNS(M15)),"-"),IF(BC65=5,IFERROR(INDEX(BH379:BH381,BD379,COLUMNS(M15)),"-"),"")))))</f>
        <v>7.2074999999999993E-4</v>
      </c>
      <c r="N15" s="207"/>
      <c r="O15" s="207"/>
      <c r="P15" s="208">
        <f>IFERROR(SUM(J15:O15),"")</f>
        <v>2.8829999999999997E-3</v>
      </c>
      <c r="Q15" s="22"/>
      <c r="R15" s="48"/>
      <c r="S15" s="27"/>
      <c r="T15" s="48"/>
      <c r="U15" s="48"/>
      <c r="V15" s="48"/>
      <c r="W15" s="48"/>
      <c r="X15" s="48"/>
      <c r="Y15" s="48"/>
      <c r="Z15" s="48"/>
      <c r="AC15" s="150"/>
    </row>
    <row r="16" spans="2:65" ht="16.5" hidden="1" customHeight="1">
      <c r="E16" s="27"/>
      <c r="F16" s="279"/>
      <c r="G16" s="280"/>
      <c r="H16" s="281"/>
      <c r="I16" s="204" t="s">
        <v>114</v>
      </c>
      <c r="J16" s="205" cm="1">
        <f t="array" ref="J16">IF(K65=1,IFERROR(INDEX(N114:N116,J114,COLUMNS(J16)),"-"), IF(K65=2,IFERROR(INDEX(N234:N235,J234,COLUMNS(J16)),"-"), IF(K65=3,IFERROR(INDEX(O310:O314,K310,COLUMNS(J16)),"-"), IF(K65=4, IFERROR(INDEX(P384:P386,L384,COLUMNS(J16)),"-"),IF(K65=5, IFERROR(INDEX(P384:P386,L384,COLUMNS(J16)),"-"),"")))))</f>
        <v>1.6463779999999997E-2</v>
      </c>
      <c r="K16" s="205" cm="1">
        <f t="array" ref="K16">IF(AA65=1,IFERROR(INDEX(AD114:AD116,Z114,COLUMNS(K16)),"-"),IF(AA65=2,IFERROR(INDEX(AD234:AD235,Z234,COLUMNS(K16)),"-"),IF(AA65=3,IFERROR(INDEX(AE310:AE314,AA310,COLUMNS(K16)),"-"),IF(AA65=4,IFERROR(INDEX(AF384:AF386,AB384,COLUMNS(K16)),"-"),IF(AA65=5,IFERROR(INDEX(AF384:AF386,AB384,COLUMNS(K16)),"-"),"")))))</f>
        <v>1.6463779999999997E-2</v>
      </c>
      <c r="L16" s="205" cm="1">
        <f t="array" ref="L16">IF(AO65=1,IFERROR(INDEX(AR114:AR116,AN114,COLUMNS(L16)),"-"),IF(AO65=2,IFERROR(INDEX(AR234:AR235,AN234,COLUMNS(L16)),"-"),IF(AO65=3,IFERROR(INDEX(AS310:AS314,AO310,COLUMNS(L16)),"-"),IF(AO65=4,IFERROR(INDEX(AT384:AT386,AP384,COLUMNS(L16)),"-"),IF(AO65=5,IFERROR(INDEX(AT384:AT386,AP384,COLUMNS(L16)),"-"),"")))))</f>
        <v>1.6463779999999997E-2</v>
      </c>
      <c r="M16" s="205" cm="1">
        <f t="array" ref="M16">IF(BC65=1,IFERROR(INDEX(BF114:BF116,BB114,COLUMNS(M16)),"-"),IF(BC65=2,IFERROR(INDEX(BF234:BF235,BB234,COLUMNS(M16)),"-"),IF(BC65=3,IFERROR(INDEX(BG310:BG314,BC310,COLUMNS(M16)),"-"),IF(BC65=4,IFERROR(INDEX(BH384:BH386,BD384,COLUMNS(M16)),"-"),IF(BC65=5,IFERROR(INDEX(BH384:BH386,BD384,COLUMNS(M16)),"-"),"")))))</f>
        <v>1.6463779999999997E-2</v>
      </c>
      <c r="N16" s="209" t="str" cm="1">
        <f t="array" ref="N16">IF(O65=1,IFERROR(INDEX(S114:S116,N114,COLUMNS(N16)),"-"), IF(O65=2,IFERROR(INDEX(S234:S235,N234,COLUMNS(N16)),"-"), IF(O65=3,IFERROR(INDEX(T310:T314,O310,COLUMNS(N16)),"-"), IF(O65=4, IFERROR(INDEX(U384:U386,P384,COLUMNS(N16)),"-"),""))))</f>
        <v/>
      </c>
      <c r="O16" s="209" t="str" cm="1">
        <f t="array" ref="O16">IF(P65=1,IFERROR(INDEX(T114:T116,O114,COLUMNS(O16)),"-"), IF(P65=2,IFERROR(INDEX(T234:T235,O234,COLUMNS(O16)),"-"), IF(P65=3,IFERROR(INDEX(U310:U314,P310,COLUMNS(O16)),"-"), IF(P65=4, IFERROR(INDEX(V384:V386,Q384,COLUMNS(O16)),"-"),""))))</f>
        <v/>
      </c>
      <c r="P16" s="208">
        <f>IFERROR(SUM(J16:O16),"")</f>
        <v>6.5855119999999989E-2</v>
      </c>
      <c r="Q16" s="22"/>
      <c r="R16" s="48"/>
      <c r="S16" s="27"/>
      <c r="T16" s="48"/>
      <c r="U16" s="48"/>
      <c r="V16" s="48"/>
      <c r="W16" s="48"/>
      <c r="X16" s="48"/>
      <c r="Y16" s="48"/>
      <c r="Z16" s="48"/>
      <c r="AC16" s="150"/>
    </row>
    <row r="17" spans="5:29" ht="20.25" customHeight="1">
      <c r="E17" s="27"/>
      <c r="F17" s="279"/>
      <c r="G17" s="280"/>
      <c r="H17" s="281"/>
      <c r="I17" s="210" t="s">
        <v>115</v>
      </c>
      <c r="J17" s="211">
        <f xml:space="preserve"> IFERROR(SUM(J15-J16),"-")</f>
        <v>-1.5743029999999998E-2</v>
      </c>
      <c r="K17" s="211">
        <f xml:space="preserve"> IFERROR(SUM(K15-K16),"-")</f>
        <v>-1.5743029999999998E-2</v>
      </c>
      <c r="L17" s="211">
        <f xml:space="preserve"> IFERROR(SUM(L15-L16),"-")</f>
        <v>-1.5743029999999998E-2</v>
      </c>
      <c r="M17" s="211">
        <f xml:space="preserve"> IFERROR(SUM(M15-M16),"-")</f>
        <v>-1.5743029999999998E-2</v>
      </c>
      <c r="N17" s="212"/>
      <c r="O17" s="212"/>
      <c r="P17" s="213">
        <f>IFERROR(SUM(J17:O17),"")</f>
        <v>-6.2972119999999993E-2</v>
      </c>
      <c r="Q17" s="22"/>
      <c r="R17" s="48"/>
      <c r="S17" s="27"/>
      <c r="T17" s="48"/>
      <c r="U17" s="48"/>
      <c r="V17" s="48"/>
      <c r="W17" s="48"/>
      <c r="X17" s="48"/>
      <c r="Y17" s="48"/>
      <c r="Z17" s="48"/>
      <c r="AC17" s="150"/>
    </row>
    <row r="18" spans="5:29" ht="21" hidden="1" customHeight="1">
      <c r="E18" s="27"/>
      <c r="F18" s="279"/>
      <c r="G18" s="280"/>
      <c r="H18" s="281"/>
      <c r="I18" s="210" t="s">
        <v>116</v>
      </c>
      <c r="J18" s="211" cm="1">
        <f t="array" ref="J18">IF(K65=1,IFERROR(INDEX(N123:N125,J123,COLUMNS(J18)),"-"), IF(K65=2,IFERROR(INDEX(N210:N211,J210,COLUMNS(J18)),"-"), IF(K65=3,IFERROR(INDEX(O272:O276,K272,COLUMNS(J18)),"-"), IF(K65=4, IFERROR(INDEX(P355:P357,L355,COLUMNS(J18)),"-"),IF(K65=5, IFERROR(INDEX(P355:P357,L355,COLUMNS(J18)),"-"),"")))))</f>
        <v>4.2163874999999996E-2</v>
      </c>
      <c r="K18" s="214" cm="1">
        <f t="array" ref="K18">IF(AA65=1,IFERROR(INDEX(AD123:AD125,Z123,COLUMNS(K18)),"-"),IF(AA65=2,IFERROR(INDEX(AD210:AD211,Z210,COLUMNS(K18)),"-"),IF(AA65=3,IFERROR(INDEX(AE272:AE276,AA272,COLUMNS(K18)),"-"),IF(AA65=4,IFERROR(INDEX(AF355:AF357,AB355,COLUMNS(K18)),"-"),IF(AA65=5,IFERROR(INDEX(AF355:AF357,AB355,COLUMNS(K18)),"-"),"")))))</f>
        <v>4.2163874999999996E-2</v>
      </c>
      <c r="L18" s="214" cm="1">
        <f t="array" ref="L18">IF(AO65=1,IFERROR(INDEX(AR123:AR125,AN123,COLUMNS(L18)),"-"),IF(AO65=2,IFERROR(INDEX(AR210:AR211,AN210,COLUMNS(L18)),"-"),IF(AO65=3,IFERROR(INDEX(AS272:AS276,AO272,COLUMNS(L18)),"-"),IF(AO65=4,IFERROR(INDEX(AT355:AT357,AP355,COLUMNS(L18)),"-"),IF(AO65=5,IFERROR(INDEX(AT355:AT357,AP355,COLUMNS(L18)),"-"),"")))))</f>
        <v>4.2163874999999996E-2</v>
      </c>
      <c r="M18" s="214" cm="1">
        <f t="array" ref="M18">IF(BC65=1,IFERROR(INDEX(BF123:BF125,BB123,COLUMNS(M18)),"-"),IF(BC65=2,IFERROR(INDEX(BF210:BF211,BB210,COLUMNS(M18)),"-"),IF(BC65=3,IFERROR(INDEX(BG272:BG276,BC272,COLUMNS(M18)),"-"),IF(BC65=4,IFERROR(INDEX(BH355:BH357,BD355,COLUMNS(M18)),"-"),IF(BC65=5,IFERROR(INDEX(BH355:BH357,BD355,COLUMNS(M18)),"-"),"")))))</f>
        <v>4.2163874999999996E-2</v>
      </c>
      <c r="N18" s="215"/>
      <c r="O18" s="215"/>
      <c r="P18" s="213">
        <f>IFERROR(SUM(J18:O18),"")</f>
        <v>0.16865549999999999</v>
      </c>
      <c r="Q18" s="22"/>
      <c r="R18" s="48"/>
      <c r="S18" s="27"/>
      <c r="T18" s="48"/>
      <c r="U18" s="48"/>
      <c r="V18" s="48"/>
      <c r="W18" s="48"/>
      <c r="X18" s="48"/>
      <c r="Y18" s="48"/>
      <c r="Z18" s="48"/>
      <c r="AC18" s="150"/>
    </row>
    <row r="19" spans="5:29" ht="20.25" hidden="1" customHeight="1">
      <c r="E19" s="27"/>
      <c r="F19" s="279"/>
      <c r="G19" s="280"/>
      <c r="H19" s="281"/>
      <c r="I19" s="210" t="s">
        <v>117</v>
      </c>
      <c r="J19" s="211" cm="1">
        <f t="array" ref="J19">IF(K65=1,IFERROR(INDEX(N132:N134,J132,COLUMNS(J19)),"-"), IF(K65=2,IFERROR(INDEX(N214:N215,J214,COLUMNS(J19)),"-"), IF(K65=3,IFERROR(INDEX(O280:O285,K280,COLUMNS(J19)),"-"), IF(K65=4, IFERROR(INDEX(P361:P363,L361,COLUMNS(J19)),"-"),IF(K65=5, IFERROR(INDEX(P361:P363,L361,COLUMNS(J19)),"-"),"")))))</f>
        <v>5.4969359999999995E-2</v>
      </c>
      <c r="K19" s="214" cm="1">
        <f t="array" ref="K19">IF(AA65=1,IFERROR(INDEX(AD132:AD134,Z132,COLUMNS(K19)),"-"),IF(AA65=2,IFERROR(INDEX(AD214:AD215,Z214,COLUMNS(K19)),"-"),IF(AA65=3,IFERROR(INDEX(AE280:AE285,AA280,COLUMNS(K19)),"-"),IF(AA65=4,IFERROR(INDEX(AF361:AF363,AB361,COLUMNS(K19)),"-"),IF(AA65=5,IFERROR(INDEX(AF361:AF363,AB361,COLUMNS(K19)),"-"),"")))))</f>
        <v>5.4969359999999995E-2</v>
      </c>
      <c r="L19" s="214" cm="1">
        <f t="array" ref="L19">IF(AO65=1,IFERROR(INDEX(AR132:AR134,AN132,COLUMNS(K19)),"-"),IF(AO65=2,IFERROR(INDEX(AR214:AR215,AN214,COLUMNS(K19)),"-"),IF(AO65=3,IFERROR(INDEX(AS280:AS285,AO280,COLUMNS(K19)),"-"),IF(AO65=4,IFERROR(INDEX(AT361:AT363,AP361,COLUMNS(K19)),"-"),IF(AO65=5,IFERROR(INDEX(AT361:AT363,AP361,COLUMNS(K19)),"-"),"")))))</f>
        <v>5.4969359999999995E-2</v>
      </c>
      <c r="M19" s="214" cm="1">
        <f t="array" ref="M19">IF(BC65=1,IFERROR(INDEX(BF132:BF134,BB132,COLUMNS(K19)),"-"),IF(BC65=2,IFERROR(INDEX(BF214:BF215,BB214,COLUMNS(K19)),"-"),IF(BC65=3,IFERROR(INDEX(BG280:BG285,BC280,COLUMNS(K19)),"-"),IF(BC65=4,IFERROR(INDEX(BH361:BH363,BD361,COLUMNS(K19)),"-"),IF(BC65=5,IFERROR(INDEX(BH361:BH363,BD361,COLUMNS(K19)),"-"),"")))))</f>
        <v>5.4969359999999995E-2</v>
      </c>
      <c r="N19" s="215"/>
      <c r="O19" s="215"/>
      <c r="P19" s="213">
        <f t="shared" ref="P19:P25" si="0">IFERROR(SUM(J19:O19),"")</f>
        <v>0.21987743999999998</v>
      </c>
      <c r="Q19" s="22"/>
      <c r="R19" s="48"/>
      <c r="S19" s="27"/>
      <c r="T19" s="48"/>
      <c r="U19" s="48"/>
      <c r="V19" s="48"/>
      <c r="W19" s="48"/>
      <c r="X19" s="48"/>
      <c r="Y19" s="48"/>
      <c r="Z19" s="48"/>
      <c r="AC19" s="150"/>
    </row>
    <row r="20" spans="5:29" ht="20.25" customHeight="1">
      <c r="E20" s="27"/>
      <c r="F20" s="279"/>
      <c r="G20" s="280"/>
      <c r="H20" s="281"/>
      <c r="I20" s="210" t="s">
        <v>118</v>
      </c>
      <c r="J20" s="211">
        <f xml:space="preserve"> IFERROR(SUM(J18-J19),"-")</f>
        <v>-1.2805484999999998E-2</v>
      </c>
      <c r="K20" s="211">
        <f xml:space="preserve"> IFERROR(SUM(K18-K19),"-")</f>
        <v>-1.2805484999999998E-2</v>
      </c>
      <c r="L20" s="211">
        <f xml:space="preserve"> IFERROR(SUM(L18-L19),"-")</f>
        <v>-1.2805484999999998E-2</v>
      </c>
      <c r="M20" s="211">
        <f xml:space="preserve"> IFERROR(SUM(M18-M19),"-")</f>
        <v>-1.2805484999999998E-2</v>
      </c>
      <c r="N20" s="212"/>
      <c r="O20" s="212"/>
      <c r="P20" s="213">
        <f t="shared" si="0"/>
        <v>-5.1221939999999994E-2</v>
      </c>
      <c r="Q20" s="22"/>
      <c r="R20" s="48"/>
      <c r="S20" s="27"/>
      <c r="T20" s="48"/>
      <c r="U20" s="48"/>
      <c r="V20" s="48"/>
      <c r="W20" s="48"/>
      <c r="X20" s="48"/>
      <c r="Y20" s="48"/>
      <c r="Z20" s="48"/>
      <c r="AC20" s="150"/>
    </row>
    <row r="21" spans="5:29" ht="20.25" hidden="1" customHeight="1">
      <c r="E21" s="27"/>
      <c r="F21" s="279"/>
      <c r="G21" s="280"/>
      <c r="H21" s="281"/>
      <c r="I21" s="216" t="s">
        <v>119</v>
      </c>
      <c r="J21" s="211" cm="1">
        <f t="array" ref="J21">IF(K65=1,IFERROR(INDEX(N141:N143,J141,COLUMNS(J21)),"-"), IF(K65=2,IFERROR(INDEX(N220:N221,J220,COLUMNS(J21)),"-"), IF(K65=3,IFERROR(INDEX(O288:O292,K288,COLUMNS(J21)),"-"), IF(K65=4, IFERROR(INDEX(P368:P370,L368,COLUMNS(J21)),"-"),IF(K65=5, IFERROR(INDEX(P368:P370,L368,COLUMNS(J21)),"-"),"")))))</f>
        <v>0.49731749999999997</v>
      </c>
      <c r="K21" s="214" cm="1">
        <f t="array" ref="K21">IF(AA65=1,IFERROR(INDEX(AD141:AD143,Z141,COLUMNS(K21)),"-"),IF(AA65=2,IFERROR(INDEX(AD220:AD221,Z220,COLUMNS(K21)),"-"),IF(AA65=3,IFERROR(INDEX(AE288:AE292,AA288,COLUMNS(K21)),"-"),IF(AA65=4,IFERROR(INDEX(AF368:AF370,AB368,COLUMNS(K21)),"-"),IF(AA65=5,IFERROR(INDEX(AF368:AF370,AB368,COLUMNS(K21)),"-"),"")))))</f>
        <v>0.49731749999999997</v>
      </c>
      <c r="L21" s="214" cm="1">
        <f t="array" ref="L21">IF(AO65=1,IFERROR(INDEX(AR141:AR143,AN141,COLUMNS(K21)),"-"),IF(AO65=2,IFERROR(INDEX(AR220:AR221,AN220,COLUMNS(K21)),"-"),IF(AO65=3,IFERROR(INDEX(AS288:AS292,AO288,COLUMNS(K21)),"-"),IF(AO65=4,IFERROR(INDEX(AT368:AT370,AP368,COLUMNS(K21)),"-"),IF(AO65=5,IFERROR(INDEX(AT368:AT370,AP368,COLUMNS(K21)),"-"),"")))))</f>
        <v>0.49731749999999997</v>
      </c>
      <c r="M21" s="214" cm="1">
        <f t="array" ref="M21">IF(BC65=1,IFERROR(INDEX(BF141:BF143,BB141,COLUMNS(M21)),"-"),IF(BC65=2,IFERROR(INDEX(BF220:BF221,BB220,COLUMNS(M21)),"-"),IF(BC65=3,IFERROR(INDEX(BG288:BG292,BC288,COLUMNS(M21)),"-"),IF(BC65=4,IFERROR(INDEX(BH368:BH370,BD368,COLUMNS(M21)),"-"),IF(BC65=5,IFERROR(INDEX(BH368:BH370,BD368,COLUMNS(M21)),"-"),"")))))</f>
        <v>0.49731749999999997</v>
      </c>
      <c r="N21" s="215"/>
      <c r="O21" s="215"/>
      <c r="P21" s="213">
        <f t="shared" si="0"/>
        <v>1.9892699999999999</v>
      </c>
      <c r="Q21" s="22"/>
      <c r="R21" s="48"/>
      <c r="S21" s="27"/>
      <c r="T21" s="48"/>
      <c r="U21" s="48"/>
      <c r="V21" s="48"/>
      <c r="W21" s="48"/>
      <c r="X21" s="48"/>
      <c r="Y21" s="48"/>
      <c r="Z21" s="48"/>
      <c r="AC21" s="150"/>
    </row>
    <row r="22" spans="5:29" ht="20.25" hidden="1" customHeight="1">
      <c r="E22" s="27"/>
      <c r="F22" s="279"/>
      <c r="G22" s="280"/>
      <c r="H22" s="281"/>
      <c r="I22" s="216" t="s">
        <v>120</v>
      </c>
      <c r="J22" s="211" cm="1">
        <f t="array" ref="J22">IF(K65=1,IFERROR(INDEX(N152:N154,J152,COLUMNS(J22)),"-"), IF(K65=2,IFERROR(INDEX(N225:N226,J225,COLUMNS(J22)),"-"), IF(K65=3,IFERROR(INDEX(O295:O299,K295,COLUMNS(J22)),"-"), IF(K65=4, IFERROR(INDEX(P373:P375,L373,COLUMNS(J22)),"-"),IF(K65=5, IFERROR(INDEX(P373:P375,L373,COLUMNS(J22)),"-"),"")))))</f>
        <v>5.8040300000000003E-2</v>
      </c>
      <c r="K22" s="214" cm="1">
        <f t="array" ref="K22">IF(AA65=1,IFERROR(INDEX(AD152:AD154,Z152,COLUMNS(K22)),"-"),IF(AA65=2,IFERROR(INDEX(AD225:AD226,Z225,COLUMNS(K22)),"-"),IF(AA65=3,IFERROR(INDEX(AE295:AE299,AA295,COLUMNS(K22)),"-"),IF(AA65=4,IFERROR(INDEX(AF373:AF375,AB373,COLUMNS(K22)),"-"),IF(AA65=5,IFERROR(INDEX(AF373:AF375,AB373,COLUMNS(K22)),"-"),"")))))</f>
        <v>5.8040300000000003E-2</v>
      </c>
      <c r="L22" s="214" cm="1">
        <f t="array" ref="L22">IF(AO65=1,IFERROR(INDEX(AR152:AR154,AN152,COLUMNS(K22)),"-"),IF(AO65=2,IFERROR(INDEX(AR225:AR226,AN225,COLUMNS(K22)),"-"),IF(AO65=3,IFERROR(INDEX(AS295:AS299,AO295,COLUMNS(K22)),"-"),IF(AO65=4,IFERROR(INDEX(AT373:AT375,AP373,COLUMNS(K22)),"-"),IF(AO65=5,IFERROR(INDEX(AT373:AT375,AP373,COLUMNS(K22)),"-"),"")))))</f>
        <v>5.8040300000000003E-2</v>
      </c>
      <c r="M22" s="214" cm="1">
        <f t="array" ref="M22">IF(BC65=1,IFERROR(INDEX(BF152:BF154,BB152,COLUMNS(K22)),"-"),IF(BC65=2,IFERROR(INDEX(BF225:BF226,BB225,COLUMNS(K22)),"-"),IF(BC65=3,IFERROR(INDEX(BG295:BG299,BC295,COLUMNS(K22)),"-"),IF(BC65=4,IFERROR(INDEX(BH373:BH375,BD373,COLUMNS(K22)),"-"),IF(BC65=5,IFERROR(INDEX(BH373:BH375,BD373,COLUMNS(K22)),"-"),"")))))</f>
        <v>5.8040300000000003E-2</v>
      </c>
      <c r="N22" s="215"/>
      <c r="O22" s="215"/>
      <c r="P22" s="213">
        <f t="shared" si="0"/>
        <v>0.23216120000000001</v>
      </c>
      <c r="Q22" s="22"/>
      <c r="R22" s="48"/>
      <c r="S22" s="27"/>
      <c r="T22" s="48"/>
      <c r="U22" s="48"/>
      <c r="V22" s="48"/>
      <c r="W22" s="48"/>
      <c r="X22" s="48"/>
      <c r="Y22" s="48"/>
      <c r="Z22" s="48"/>
      <c r="AC22" s="150"/>
    </row>
    <row r="23" spans="5:29" ht="20.25" customHeight="1">
      <c r="E23" s="27"/>
      <c r="F23" s="279"/>
      <c r="G23" s="280"/>
      <c r="H23" s="281"/>
      <c r="I23" s="216" t="s">
        <v>121</v>
      </c>
      <c r="J23" s="211">
        <f xml:space="preserve"> IFERROR(SUM(J21-J22),"-")</f>
        <v>0.43927719999999998</v>
      </c>
      <c r="K23" s="211">
        <f xml:space="preserve"> IFERROR(SUM(K21-K22),"-")</f>
        <v>0.43927719999999998</v>
      </c>
      <c r="L23" s="211">
        <f xml:space="preserve"> IFERROR(SUM(L21-L22),"-")</f>
        <v>0.43927719999999998</v>
      </c>
      <c r="M23" s="211">
        <f xml:space="preserve"> IFERROR(SUM(M21-M22),"-")</f>
        <v>0.43927719999999998</v>
      </c>
      <c r="N23" s="212"/>
      <c r="O23" s="212"/>
      <c r="P23" s="213">
        <f t="shared" si="0"/>
        <v>1.7571087999999999</v>
      </c>
      <c r="Q23" s="22"/>
      <c r="R23" s="48"/>
      <c r="S23" s="27"/>
      <c r="T23" s="48"/>
      <c r="U23" s="48"/>
      <c r="V23" s="48"/>
      <c r="W23" s="48"/>
      <c r="X23" s="48"/>
      <c r="Y23" s="48"/>
      <c r="Z23" s="48"/>
      <c r="AC23" s="150"/>
    </row>
    <row r="24" spans="5:29" ht="20.25" hidden="1" customHeight="1">
      <c r="E24" s="27"/>
      <c r="F24" s="279"/>
      <c r="G24" s="280"/>
      <c r="H24" s="281"/>
      <c r="I24" s="217" t="s">
        <v>122</v>
      </c>
      <c r="J24" s="211" cm="1">
        <f t="array" ref="J24">IF(K65=1,IFERROR(INDEX(N163:N165,J163,COLUMNS(J24)),"-"), IF(K65=2,IFERROR(INDEX(N240:N241,J240,COLUMNS(J24)),"-"), IF(K65=3,IFERROR(INDEX(O318:O322,K318,COLUMNS(J24)),"-"), IF(K65=4, IFERROR(INDEX(P390:P392,L390,COLUMNS(J24)),"-"),IF(K65=5, IFERROR(INDEX(P390:P392,L390,COLUMNS(J24)),"-"),"")))))</f>
        <v>6.0687149999999995E-2</v>
      </c>
      <c r="K24" s="214" cm="1">
        <f t="array" ref="K24">IF(AA65=1,IFERROR(INDEX(AD163:AD165,Z163,COLUMNS(K24)),"-"),IF(AA65=2,IFERROR(INDEX(AD240:AD241,Z240,COLUMNS(K24)),"-"),IF(AA65=3,IFERROR(INDEX(AE318:AE322,AA318,COLUMNS(K24)),"-"),IF(AA65=4,IFERROR(INDEX(AF390:AF392,AB390,COLUMNS(K24)),"-"),IF(AA65=5,IFERROR(INDEX(AF390:AF392,AB390,COLUMNS(K24)),"-"),"")))))</f>
        <v>6.0687149999999995E-2</v>
      </c>
      <c r="L24" s="214" cm="1">
        <f t="array" ref="L24">IF(AO65=1,IFERROR(INDEX(AR163:AR165,AN163,COLUMNS(L24)),"-"),IF(AO65=2,IFERROR(INDEX(AR240:AR241,AN240,COLUMNS(L24)),"-"),IF(AO65=3,IFERROR(INDEX(AS318:AS322,AO318,COLUMNS(L24)),"-"),IF(AO65=4,IFERROR(INDEX(AT390:AT392,AP390,COLUMNS(L24)),"-"),IF(AO65=5,IFERROR(INDEX(AT390:AT392,AP390,COLUMNS(L24)),"-"),"")))))</f>
        <v>6.0687149999999995E-2</v>
      </c>
      <c r="M24" s="214" cm="1">
        <f t="array" ref="M24">IF(BC65=1,IFERROR(INDEX(BF163:BF165,BB163,COLUMNS(M24)),"-"),IF(BC65=2,IFERROR(INDEX(BF240:BF241,BB240,COLUMNS(M24)),"-"),IF(BC65=3,IFERROR(INDEX(BG318:BG322,BC318,COLUMNS(M24)),"-"),IF(BC65=4,IFERROR(INDEX(BH390:BH392,BD390,COLUMNS(M24)),"-"),IF(BC65=5,IFERROR(INDEX(BH390:BH392,BD390,COLUMNS(M24)),"-"),"")))))</f>
        <v>6.0687149999999995E-2</v>
      </c>
      <c r="N24" s="215"/>
      <c r="O24" s="218"/>
      <c r="P24" s="219">
        <f t="shared" si="0"/>
        <v>0.24274859999999998</v>
      </c>
      <c r="Q24" s="22"/>
      <c r="R24" s="48"/>
      <c r="S24" s="27"/>
      <c r="T24" s="48"/>
      <c r="U24" s="48"/>
      <c r="V24" s="48"/>
      <c r="W24" s="48"/>
      <c r="X24" s="48"/>
      <c r="Y24" s="48"/>
      <c r="Z24" s="48"/>
      <c r="AC24" s="150"/>
    </row>
    <row r="25" spans="5:29" ht="20.25" hidden="1" customHeight="1">
      <c r="E25" s="27"/>
      <c r="F25" s="279"/>
      <c r="G25" s="280"/>
      <c r="H25" s="281"/>
      <c r="I25" s="220" t="s">
        <v>123</v>
      </c>
      <c r="J25" s="221" cm="1">
        <f t="array" ref="J25">IF(K65=1,IFERROR(INDEX(N173:N175,J173,COLUMNS(J25)),"-"), IF(K65=2,IFERROR(INDEX(N244:N245,J244,COLUMNS(J25)),"-"), IF(K65=3,IFERROR(INDEX(O325:O329,K325,COLUMNS(J25)),"-"), IF(K65=4, IFERROR(INDEX(P396:P398,L396,COLUMNS(J25)),"-"),IF(K65=5, IFERROR(INDEX(P396:P398,L396,COLUMNS(J25)),"-"),"")))))</f>
        <v>7.1763999999999997E-4</v>
      </c>
      <c r="K25" s="221" cm="1">
        <f t="array" ref="K25">IF(AA65=1,IFERROR(INDEX(AD173:AD175,Z173,COLUMNS(K25)),"-"),IF(AA65=2,IFERROR(INDEX(AD244:AD245,Z244,COLUMNS(K25)),"-"),IF(AA65=3,IFERROR(INDEX(AE325:AE329,AA325,COLUMNS(K25)),"-"),IF(AA65=4,IFERROR(INDEX(AF396:AF398,AB396,COLUMNS(K25)),"-"),IF(AA65=5,IFERROR(INDEX(AF396:AF398,AB396,COLUMNS(K25)),"-"),"")))))</f>
        <v>7.1763999999999997E-4</v>
      </c>
      <c r="L25" s="221" cm="1">
        <f t="array" ref="L25">IF(AO65=1,IFERROR(INDEX(AR173:AR175,AN173,COLUMNS(K25)),"-"),IF(AO65=2,IFERROR(INDEX(AR244:AR245,AN244,COLUMNS(K25)),"-"),IF(AO65=3,IFERROR(INDEX(AS325:AS329,AO325,COLUMNS(K25)),"-"),IF(AO65=4,IFERROR(INDEX(AT396:AT398,AP396,COLUMNS(K25)),"-"),IF(AO65=5,IFERROR(INDEX(AT396:AT398,AP396,COLUMNS(K25)),"-"),"")))))</f>
        <v>7.1763999999999997E-4</v>
      </c>
      <c r="M25" s="221" cm="1">
        <f t="array" ref="M25">IF(BC65=1,IFERROR(INDEX(BF173:BF175,BB173,COLUMNS(K25)),"-"),IF(BC65=2,IFERROR(INDEX(BF244:BF245,BB244,COLUMNS(K25)),"-"),IF(BC65=3,IFERROR(INDEX(BG325:BG329,BC325,COLUMNS(K25)),"-"),IF(BC65=4,IFERROR(INDEX(BH396:BH398,BD396,COLUMNS(K25)),"-"),IF(BC65=5,IFERROR(INDEX(BH396:BH398,BD396,COLUMNS(K25)),"-"),"")))))</f>
        <v>7.1763999999999997E-4</v>
      </c>
      <c r="N25" s="222"/>
      <c r="O25" s="215"/>
      <c r="P25" s="219">
        <f t="shared" si="0"/>
        <v>2.8705599999999999E-3</v>
      </c>
      <c r="Q25" s="22"/>
      <c r="R25" s="48"/>
      <c r="S25" s="27"/>
      <c r="T25" s="48"/>
      <c r="U25" s="48"/>
      <c r="V25" s="48"/>
      <c r="W25" s="48"/>
      <c r="X25" s="48"/>
      <c r="Y25" s="48"/>
      <c r="Z25" s="48"/>
      <c r="AC25" s="150"/>
    </row>
    <row r="26" spans="5:29" ht="20.25" customHeight="1" thickBot="1">
      <c r="E26" s="27"/>
      <c r="F26" s="282"/>
      <c r="G26" s="283"/>
      <c r="H26" s="284"/>
      <c r="I26" s="223" t="s">
        <v>124</v>
      </c>
      <c r="J26" s="224">
        <f xml:space="preserve"> IFERROR(SUM(J24-J25),"-")</f>
        <v>5.9969509999999997E-2</v>
      </c>
      <c r="K26" s="224">
        <f xml:space="preserve"> IFERROR(SUM(K24-K25),"-")</f>
        <v>5.9969509999999997E-2</v>
      </c>
      <c r="L26" s="224">
        <f xml:space="preserve"> IFERROR(SUM(L24-L25),"-")</f>
        <v>5.9969509999999997E-2</v>
      </c>
      <c r="M26" s="224">
        <f xml:space="preserve"> IFERROR(SUM(M24-M25),"-")</f>
        <v>5.9969509999999997E-2</v>
      </c>
      <c r="N26" s="225"/>
      <c r="O26" s="225"/>
      <c r="P26" s="194">
        <f>IFERROR(SUM(J26:O26),"")</f>
        <v>0.23987803999999999</v>
      </c>
      <c r="Q26" s="22"/>
      <c r="R26" s="48"/>
      <c r="S26" s="27"/>
      <c r="T26" s="48"/>
      <c r="U26" s="48"/>
      <c r="V26" s="48"/>
      <c r="W26" s="48"/>
      <c r="X26" s="48"/>
      <c r="Y26" s="48"/>
      <c r="Z26" s="48"/>
      <c r="AC26" s="150"/>
    </row>
    <row r="27" spans="5:29">
      <c r="E27" s="21"/>
      <c r="F27" s="19"/>
      <c r="G27" s="19"/>
      <c r="H27" s="19"/>
      <c r="I27" s="19"/>
      <c r="J27" s="19"/>
      <c r="K27" s="19"/>
      <c r="L27" s="19"/>
      <c r="M27" s="19"/>
      <c r="N27" s="19"/>
      <c r="O27" s="19"/>
      <c r="P27" s="19"/>
      <c r="Q27" s="18"/>
      <c r="R27" s="48"/>
      <c r="S27" s="21"/>
      <c r="T27" s="19"/>
      <c r="U27" s="19"/>
      <c r="V27" s="19"/>
      <c r="W27" s="19"/>
      <c r="X27" s="19"/>
      <c r="Y27" s="19"/>
      <c r="Z27" s="19"/>
      <c r="AA27" s="104"/>
      <c r="AB27" s="104"/>
      <c r="AC27" s="151"/>
    </row>
    <row r="28" spans="5:29" ht="14.25" customHeight="1"/>
    <row r="34" spans="6:23" ht="15.75" thickBot="1"/>
    <row r="35" spans="6:23" ht="15.75" thickTop="1">
      <c r="F35" s="285" t="s">
        <v>125</v>
      </c>
      <c r="G35" s="286"/>
      <c r="H35" s="286"/>
      <c r="I35" s="287"/>
      <c r="J35" s="226" t="s">
        <v>126</v>
      </c>
      <c r="K35" s="226" t="s">
        <v>126</v>
      </c>
      <c r="L35" s="226" t="s">
        <v>126</v>
      </c>
      <c r="M35" s="227" t="s">
        <v>127</v>
      </c>
      <c r="W35" s="243" t="s">
        <v>128</v>
      </c>
    </row>
    <row r="36" spans="6:23" ht="15.75" thickBot="1">
      <c r="F36" s="288"/>
      <c r="G36" s="289"/>
      <c r="H36" s="289"/>
      <c r="I36" s="290"/>
      <c r="J36" s="228" t="s">
        <v>63</v>
      </c>
      <c r="K36" s="228" t="s">
        <v>106</v>
      </c>
      <c r="L36" s="228" t="s">
        <v>65</v>
      </c>
      <c r="M36" s="229"/>
      <c r="W36" s="243" t="s">
        <v>129</v>
      </c>
    </row>
    <row r="37" spans="6:23" ht="27.75" customHeight="1" thickTop="1">
      <c r="F37" s="230" t="s">
        <v>130</v>
      </c>
      <c r="G37" s="231"/>
      <c r="H37" s="231"/>
      <c r="I37" s="232"/>
      <c r="J37" s="233">
        <v>390260</v>
      </c>
      <c r="K37" s="233">
        <v>1130380</v>
      </c>
      <c r="L37" s="233">
        <v>53</v>
      </c>
      <c r="M37" s="273" t="s">
        <v>131</v>
      </c>
      <c r="W37" s="243" t="s">
        <v>132</v>
      </c>
    </row>
    <row r="38" spans="6:23">
      <c r="F38" s="234" t="s">
        <v>133</v>
      </c>
      <c r="G38" s="235"/>
      <c r="H38" s="235"/>
      <c r="I38" s="236"/>
      <c r="J38" s="237">
        <v>1652</v>
      </c>
      <c r="K38" s="237">
        <v>74704</v>
      </c>
      <c r="L38" s="237">
        <v>9</v>
      </c>
      <c r="M38" s="274"/>
      <c r="W38" s="243" t="s">
        <v>134</v>
      </c>
    </row>
    <row r="39" spans="6:23" ht="15" customHeight="1">
      <c r="F39" s="234" t="s">
        <v>135</v>
      </c>
      <c r="G39" s="235"/>
      <c r="H39" s="235"/>
      <c r="I39" s="236"/>
      <c r="J39" s="237">
        <v>824</v>
      </c>
      <c r="K39" s="237">
        <v>13141</v>
      </c>
      <c r="L39" s="237" t="s">
        <v>13</v>
      </c>
      <c r="M39" s="274"/>
    </row>
    <row r="40" spans="6:23">
      <c r="F40" s="234" t="s">
        <v>136</v>
      </c>
      <c r="G40" s="235"/>
      <c r="H40" s="235"/>
      <c r="I40" s="236"/>
      <c r="J40" s="237">
        <v>13</v>
      </c>
      <c r="K40" s="237">
        <v>88803</v>
      </c>
      <c r="L40" s="237" t="s">
        <v>13</v>
      </c>
      <c r="M40" s="274"/>
    </row>
    <row r="41" spans="6:23">
      <c r="F41" s="244" t="s">
        <v>137</v>
      </c>
      <c r="G41" s="245"/>
      <c r="H41" s="245"/>
      <c r="I41" s="246"/>
      <c r="J41" s="247" t="s">
        <v>13</v>
      </c>
      <c r="K41" s="247">
        <v>3661</v>
      </c>
      <c r="L41" s="248" t="s">
        <v>13</v>
      </c>
      <c r="M41" s="274"/>
    </row>
    <row r="42" spans="6:23" ht="14.45" customHeight="1" thickBot="1">
      <c r="F42" s="238" t="s">
        <v>138</v>
      </c>
      <c r="G42" s="239"/>
      <c r="H42" s="239"/>
      <c r="I42" s="240"/>
      <c r="J42" s="241" t="s">
        <v>13</v>
      </c>
      <c r="K42" s="242">
        <v>3248</v>
      </c>
      <c r="L42" s="242" t="s">
        <v>13</v>
      </c>
      <c r="M42" s="275"/>
    </row>
    <row r="44" spans="6:23" ht="14.45" customHeight="1"/>
    <row r="46" spans="6:23" ht="14.45" customHeight="1"/>
    <row r="47" spans="6:23">
      <c r="G47" s="157"/>
      <c r="H47" s="157"/>
      <c r="I47" s="153"/>
      <c r="J47" s="154"/>
      <c r="K47" s="154"/>
    </row>
    <row r="48" spans="6:23">
      <c r="G48" s="155"/>
      <c r="H48" s="156"/>
      <c r="I48" s="153"/>
      <c r="J48" s="154"/>
      <c r="K48" s="154"/>
    </row>
    <row r="57" spans="6:65" ht="16.5" customHeight="1"/>
    <row r="58" spans="6:65" hidden="1"/>
    <row r="59" spans="6:65" hidden="1"/>
    <row r="60" spans="6:65" ht="18" hidden="1" customHeight="1"/>
    <row r="61" spans="6:65" hidden="1">
      <c r="F61" s="2"/>
      <c r="G61" s="16" t="s">
        <v>31</v>
      </c>
      <c r="H61" s="16"/>
      <c r="I61" s="2"/>
      <c r="J61" s="2"/>
      <c r="K61" s="2"/>
      <c r="L61" s="2"/>
      <c r="M61" s="2"/>
      <c r="N61" s="2"/>
      <c r="O61" s="2"/>
      <c r="P61" s="2"/>
      <c r="Q61" s="2"/>
      <c r="R61" s="2"/>
      <c r="S61" s="2"/>
      <c r="T61" s="2"/>
    </row>
    <row r="62" spans="6:65" hidden="1">
      <c r="F62" s="2"/>
      <c r="G62" s="16"/>
      <c r="H62" s="16"/>
      <c r="I62" s="11"/>
      <c r="J62" s="17" t="s">
        <v>32</v>
      </c>
      <c r="N62" s="2"/>
      <c r="O62" s="2"/>
      <c r="P62" s="2"/>
      <c r="Q62" s="2"/>
      <c r="R62" s="2"/>
      <c r="S62" s="2"/>
      <c r="T62" s="2"/>
    </row>
    <row r="63" spans="6:65" hidden="1">
      <c r="F63" s="2"/>
      <c r="G63" s="15" t="s">
        <v>33</v>
      </c>
      <c r="H63" s="16"/>
      <c r="I63" s="2"/>
      <c r="J63" s="2"/>
      <c r="K63" s="2"/>
      <c r="L63" s="2"/>
      <c r="M63" s="16" t="s">
        <v>34</v>
      </c>
      <c r="N63" s="2"/>
      <c r="O63" s="2"/>
      <c r="P63" s="2"/>
      <c r="Q63" s="2"/>
      <c r="R63" s="2"/>
      <c r="S63" s="2"/>
      <c r="T63" s="2"/>
      <c r="V63" s="2"/>
      <c r="W63" s="15" t="s">
        <v>35</v>
      </c>
      <c r="X63" s="16"/>
      <c r="Y63" s="2"/>
      <c r="Z63" s="2"/>
      <c r="AA63" s="2"/>
      <c r="AB63" s="2"/>
      <c r="AC63" s="2"/>
      <c r="AD63" s="2"/>
      <c r="AE63" s="2"/>
      <c r="AF63" s="2"/>
      <c r="AG63" s="2"/>
      <c r="AH63" s="2"/>
      <c r="AI63" s="2"/>
      <c r="AJ63" s="2"/>
      <c r="AK63" s="15" t="s">
        <v>36</v>
      </c>
      <c r="AL63" s="16"/>
      <c r="AM63" s="2"/>
      <c r="AN63" s="2"/>
      <c r="AO63" s="2"/>
      <c r="AP63" s="2"/>
      <c r="AQ63" s="2"/>
      <c r="AR63" s="2"/>
      <c r="AS63" s="2"/>
      <c r="AT63" s="2"/>
      <c r="AU63" s="2"/>
      <c r="AV63" s="2"/>
      <c r="AX63" s="2"/>
      <c r="AY63" s="15" t="s">
        <v>37</v>
      </c>
      <c r="AZ63" s="16"/>
      <c r="BA63" s="2"/>
      <c r="BB63" s="2"/>
      <c r="BC63" s="2"/>
      <c r="BD63" s="2"/>
      <c r="BE63" s="2"/>
      <c r="BF63" s="2"/>
      <c r="BG63" s="2"/>
      <c r="BH63" s="2"/>
      <c r="BI63" s="2"/>
      <c r="BL63" s="2"/>
      <c r="BM63" s="2"/>
    </row>
    <row r="64" spans="6:65" hidden="1">
      <c r="F64" s="2"/>
      <c r="G64" s="16"/>
      <c r="H64" s="16"/>
      <c r="I64" s="2"/>
      <c r="J64" s="2" t="s">
        <v>40</v>
      </c>
      <c r="K64" s="2" t="s">
        <v>40</v>
      </c>
      <c r="L64" s="2"/>
      <c r="M64" s="2"/>
      <c r="N64" s="2" t="s">
        <v>40</v>
      </c>
      <c r="O64" s="2"/>
      <c r="P64" s="2"/>
      <c r="Q64" s="2"/>
      <c r="R64" s="2"/>
      <c r="S64" s="2"/>
      <c r="T64" s="2"/>
      <c r="V64" s="2"/>
      <c r="W64" s="16"/>
      <c r="X64" s="16"/>
      <c r="Y64" s="2"/>
      <c r="Z64" s="2" t="s">
        <v>40</v>
      </c>
      <c r="AA64" s="2" t="s">
        <v>40</v>
      </c>
      <c r="AB64" s="2"/>
      <c r="AC64" s="2"/>
      <c r="AD64" s="2"/>
      <c r="AE64" s="2"/>
      <c r="AF64" s="2"/>
      <c r="AG64" s="2"/>
      <c r="AH64" s="2"/>
      <c r="AI64" s="2"/>
      <c r="AJ64" s="2"/>
      <c r="AK64" s="16"/>
      <c r="AL64" s="16"/>
      <c r="AM64" s="2"/>
      <c r="AN64" s="2" t="s">
        <v>40</v>
      </c>
      <c r="AO64" s="2" t="s">
        <v>40</v>
      </c>
      <c r="AP64" s="2"/>
      <c r="AQ64" s="2"/>
      <c r="AR64" s="2"/>
      <c r="AS64" s="2"/>
      <c r="AT64" s="2"/>
      <c r="AU64" s="2"/>
      <c r="AV64" s="2"/>
      <c r="AX64" s="2"/>
      <c r="AY64" s="16"/>
      <c r="AZ64" s="16"/>
      <c r="BA64" s="2"/>
      <c r="BB64" s="2" t="s">
        <v>40</v>
      </c>
      <c r="BC64" s="2" t="s">
        <v>40</v>
      </c>
      <c r="BD64" s="2"/>
      <c r="BE64" s="2"/>
      <c r="BF64" s="2"/>
      <c r="BG64" s="2"/>
      <c r="BH64" s="2"/>
      <c r="BI64" s="2"/>
      <c r="BL64" s="2"/>
      <c r="BM64" s="2"/>
    </row>
    <row r="65" spans="6:65" hidden="1">
      <c r="F65" s="2">
        <v>1</v>
      </c>
      <c r="G65" s="16" t="s">
        <v>104</v>
      </c>
      <c r="H65" s="16"/>
      <c r="I65" s="2"/>
      <c r="J65" s="2">
        <f t="shared" ref="J65:J70" si="1">IF((J$8=G65),F65,"")</f>
        <v>1</v>
      </c>
      <c r="K65" s="2">
        <f>IFERROR(SMALL(J$65:J$70,F65),"")</f>
        <v>1</v>
      </c>
      <c r="L65" s="2">
        <v>1</v>
      </c>
      <c r="M65" s="17" t="s">
        <v>13</v>
      </c>
      <c r="N65" s="2" t="str">
        <f>IF((J$8=M65),L65,"")</f>
        <v/>
      </c>
      <c r="O65" s="2"/>
      <c r="P65" s="2"/>
      <c r="Q65" s="2"/>
      <c r="R65" s="2"/>
      <c r="S65" s="2"/>
      <c r="T65" s="2"/>
      <c r="V65" s="2">
        <v>1</v>
      </c>
      <c r="W65" s="16" t="s">
        <v>104</v>
      </c>
      <c r="X65" s="16"/>
      <c r="Y65" s="2"/>
      <c r="Z65" s="2">
        <f t="shared" ref="Z65:Z70" si="2">IF((K$8=W65),V65,"")</f>
        <v>1</v>
      </c>
      <c r="AA65" s="2">
        <f>IFERROR(SMALL(Z$65:Z$70,V65),"")</f>
        <v>1</v>
      </c>
      <c r="AB65" s="2">
        <v>1</v>
      </c>
      <c r="AC65" s="17" t="s">
        <v>13</v>
      </c>
      <c r="AD65" s="2"/>
      <c r="AE65" s="2"/>
      <c r="AF65" s="2"/>
      <c r="AG65" s="2"/>
      <c r="AH65" s="2"/>
      <c r="AI65" s="2"/>
      <c r="AJ65" s="2">
        <v>1</v>
      </c>
      <c r="AK65" s="16" t="s">
        <v>104</v>
      </c>
      <c r="AL65" s="16"/>
      <c r="AM65" s="2"/>
      <c r="AN65" s="2">
        <f t="shared" ref="AN65:AN70" si="3">IF((L$8=AK65),AJ65,"")</f>
        <v>1</v>
      </c>
      <c r="AO65" s="2">
        <f>IFERROR(SMALL(AN$65:AN$70,AJ65),"")</f>
        <v>1</v>
      </c>
      <c r="AP65" s="2">
        <v>1</v>
      </c>
      <c r="AQ65" s="17" t="s">
        <v>13</v>
      </c>
      <c r="AR65" s="2"/>
      <c r="AS65" s="2"/>
      <c r="AT65" s="2"/>
      <c r="AU65" s="2"/>
      <c r="AV65" s="2"/>
      <c r="AX65" s="2">
        <v>1</v>
      </c>
      <c r="AY65" s="16" t="s">
        <v>104</v>
      </c>
      <c r="AZ65" s="16"/>
      <c r="BA65" s="2"/>
      <c r="BB65" s="2">
        <f t="shared" ref="BB65:BB70" si="4">IF((M$8=AY65),AX65,"")</f>
        <v>1</v>
      </c>
      <c r="BC65" s="2">
        <f>IFERROR(SMALL(BB$65:BB$70,AX65),"")</f>
        <v>1</v>
      </c>
      <c r="BD65" s="2">
        <v>1</v>
      </c>
      <c r="BE65" s="17" t="s">
        <v>13</v>
      </c>
      <c r="BF65" s="2"/>
      <c r="BG65" s="2"/>
      <c r="BH65" s="2"/>
      <c r="BI65" s="2"/>
      <c r="BL65" s="2"/>
      <c r="BM65" s="2"/>
    </row>
    <row r="66" spans="6:65" hidden="1">
      <c r="F66" s="2">
        <v>2</v>
      </c>
      <c r="G66" s="16" t="s">
        <v>139</v>
      </c>
      <c r="H66" s="16"/>
      <c r="I66" s="2"/>
      <c r="J66" s="2" t="str">
        <f t="shared" si="1"/>
        <v/>
      </c>
      <c r="K66" s="2" t="str">
        <f>IFERROR(SMALL(J$65:J$68,F66),"")</f>
        <v/>
      </c>
      <c r="L66" s="2"/>
      <c r="M66" s="2"/>
      <c r="N66" s="2"/>
      <c r="O66" s="2"/>
      <c r="P66" s="2"/>
      <c r="Q66" s="2"/>
      <c r="R66" s="2"/>
      <c r="S66" s="2"/>
      <c r="T66" s="2"/>
      <c r="V66" s="2">
        <v>2</v>
      </c>
      <c r="W66" s="16" t="s">
        <v>139</v>
      </c>
      <c r="X66" s="16"/>
      <c r="Y66" s="2"/>
      <c r="Z66" s="2" t="str">
        <f t="shared" si="2"/>
        <v/>
      </c>
      <c r="AA66" s="2" t="str">
        <f>IFERROR(SMALL(Z$65:Z$68,V66),"")</f>
        <v/>
      </c>
      <c r="AB66" s="2"/>
      <c r="AC66" s="2"/>
      <c r="AD66" s="2"/>
      <c r="AE66" s="2"/>
      <c r="AF66" s="2"/>
      <c r="AG66" s="2"/>
      <c r="AH66" s="2"/>
      <c r="AI66" s="2"/>
      <c r="AJ66" s="2">
        <v>2</v>
      </c>
      <c r="AK66" s="16" t="s">
        <v>139</v>
      </c>
      <c r="AL66" s="16"/>
      <c r="AM66" s="2"/>
      <c r="AN66" s="2" t="str">
        <f t="shared" si="3"/>
        <v/>
      </c>
      <c r="AO66" s="2" t="str">
        <f>IFERROR(SMALL(AN$65:AN$68,AJ66),"")</f>
        <v/>
      </c>
      <c r="AP66" s="2"/>
      <c r="AQ66" s="2"/>
      <c r="AR66" s="2"/>
      <c r="AS66" s="2"/>
      <c r="AT66" s="2"/>
      <c r="AU66" s="2"/>
      <c r="AV66" s="2"/>
      <c r="AX66" s="2">
        <v>2</v>
      </c>
      <c r="AY66" s="16" t="s">
        <v>139</v>
      </c>
      <c r="AZ66" s="16"/>
      <c r="BA66" s="2"/>
      <c r="BB66" s="2" t="str">
        <f t="shared" si="4"/>
        <v/>
      </c>
      <c r="BC66" s="2" t="str">
        <f>IFERROR(SMALL(BB$65:BB$68,AX66),"")</f>
        <v/>
      </c>
      <c r="BD66" s="2"/>
      <c r="BE66" s="2"/>
      <c r="BF66" s="2"/>
      <c r="BG66" s="2"/>
      <c r="BH66" s="2"/>
      <c r="BI66" s="2"/>
      <c r="BL66" s="2"/>
      <c r="BM66" s="2"/>
    </row>
    <row r="67" spans="6:65" hidden="1">
      <c r="F67" s="2">
        <v>3</v>
      </c>
      <c r="G67" s="16" t="s">
        <v>140</v>
      </c>
      <c r="H67" s="16"/>
      <c r="I67" s="2"/>
      <c r="J67" s="2" t="str">
        <f t="shared" si="1"/>
        <v/>
      </c>
      <c r="K67" s="2" t="str">
        <f>IFERROR(SMALL(J$65:J$68,F67),"")</f>
        <v/>
      </c>
      <c r="L67" s="2"/>
      <c r="M67" s="2"/>
      <c r="N67" s="2"/>
      <c r="O67" s="2"/>
      <c r="P67" s="2"/>
      <c r="Q67" s="2"/>
      <c r="R67" s="2"/>
      <c r="S67" s="2"/>
      <c r="T67" s="2"/>
      <c r="V67" s="2">
        <v>3</v>
      </c>
      <c r="W67" s="16" t="s">
        <v>140</v>
      </c>
      <c r="X67" s="16"/>
      <c r="Y67" s="2"/>
      <c r="Z67" s="2" t="str">
        <f t="shared" si="2"/>
        <v/>
      </c>
      <c r="AA67" s="2" t="str">
        <f>IFERROR(SMALL(Z$65:Z$68,V67),"")</f>
        <v/>
      </c>
      <c r="AB67" s="2"/>
      <c r="AC67" s="2"/>
      <c r="AD67" s="2"/>
      <c r="AE67" s="2"/>
      <c r="AF67" s="2"/>
      <c r="AG67" s="2"/>
      <c r="AH67" s="2"/>
      <c r="AI67" s="2"/>
      <c r="AJ67" s="2">
        <v>3</v>
      </c>
      <c r="AK67" s="16" t="s">
        <v>140</v>
      </c>
      <c r="AL67" s="16"/>
      <c r="AM67" s="2"/>
      <c r="AN67" s="2" t="str">
        <f t="shared" si="3"/>
        <v/>
      </c>
      <c r="AO67" s="2" t="str">
        <f>IFERROR(SMALL(AN$65:AN$68,AJ67),"")</f>
        <v/>
      </c>
      <c r="AP67" s="2"/>
      <c r="AQ67" s="2"/>
      <c r="AR67" s="2"/>
      <c r="AS67" s="2"/>
      <c r="AT67" s="2"/>
      <c r="AU67" s="2"/>
      <c r="AV67" s="2"/>
      <c r="AX67" s="2">
        <v>3</v>
      </c>
      <c r="AY67" s="16" t="s">
        <v>140</v>
      </c>
      <c r="AZ67" s="16"/>
      <c r="BA67" s="2"/>
      <c r="BB67" s="2" t="str">
        <f t="shared" si="4"/>
        <v/>
      </c>
      <c r="BC67" s="2" t="str">
        <f>IFERROR(SMALL(BB$65:BB$68,AX67),"")</f>
        <v/>
      </c>
      <c r="BD67" s="2"/>
      <c r="BE67" s="2"/>
      <c r="BF67" s="2"/>
      <c r="BG67" s="2"/>
      <c r="BH67" s="2"/>
      <c r="BI67" s="2"/>
      <c r="BL67" s="2"/>
      <c r="BM67" s="2"/>
    </row>
    <row r="68" spans="6:65" hidden="1">
      <c r="F68" s="2">
        <v>4</v>
      </c>
      <c r="G68" s="16" t="s">
        <v>141</v>
      </c>
      <c r="H68" s="16"/>
      <c r="I68" s="2"/>
      <c r="J68" s="2" t="str">
        <f t="shared" si="1"/>
        <v/>
      </c>
      <c r="K68" s="2" t="str">
        <f>IFERROR(SMALL(J$65:J$68,F68),"")</f>
        <v/>
      </c>
      <c r="L68" s="2"/>
      <c r="M68" s="2"/>
      <c r="N68" s="2"/>
      <c r="O68" s="2"/>
      <c r="P68" s="2"/>
      <c r="Q68" s="2"/>
      <c r="R68" s="2"/>
      <c r="S68" s="2"/>
      <c r="T68" s="2"/>
      <c r="V68" s="2">
        <v>4</v>
      </c>
      <c r="W68" s="16" t="s">
        <v>141</v>
      </c>
      <c r="X68" s="16"/>
      <c r="Y68" s="2"/>
      <c r="Z68" s="2" t="str">
        <f t="shared" si="2"/>
        <v/>
      </c>
      <c r="AA68" s="2" t="str">
        <f>IFERROR(SMALL(Z$65:Z$68,V68),"")</f>
        <v/>
      </c>
      <c r="AB68" s="2"/>
      <c r="AC68" s="2"/>
      <c r="AD68" s="2"/>
      <c r="AE68" s="2"/>
      <c r="AF68" s="2"/>
      <c r="AG68" s="2"/>
      <c r="AH68" s="2"/>
      <c r="AI68" s="2"/>
      <c r="AJ68" s="2">
        <v>4</v>
      </c>
      <c r="AK68" s="16" t="s">
        <v>141</v>
      </c>
      <c r="AL68" s="16"/>
      <c r="AM68" s="2"/>
      <c r="AN68" s="2" t="str">
        <f t="shared" si="3"/>
        <v/>
      </c>
      <c r="AO68" s="2" t="str">
        <f>IFERROR(SMALL(AN$65:AN$68,AJ68),"")</f>
        <v/>
      </c>
      <c r="AP68" s="2"/>
      <c r="AQ68" s="2"/>
      <c r="AR68" s="2"/>
      <c r="AS68" s="2"/>
      <c r="AT68" s="2"/>
      <c r="AU68" s="2"/>
      <c r="AV68" s="2"/>
      <c r="AX68" s="2">
        <v>4</v>
      </c>
      <c r="AY68" s="16" t="s">
        <v>141</v>
      </c>
      <c r="AZ68" s="16"/>
      <c r="BA68" s="2"/>
      <c r="BB68" s="2" t="str">
        <f t="shared" si="4"/>
        <v/>
      </c>
      <c r="BC68" s="2" t="str">
        <f>IFERROR(SMALL(BB$65:BB$68,AX68),"")</f>
        <v/>
      </c>
      <c r="BD68" s="2"/>
      <c r="BE68" s="2"/>
      <c r="BF68" s="2"/>
      <c r="BG68" s="2"/>
      <c r="BH68" s="2"/>
      <c r="BI68" s="2"/>
      <c r="BL68" s="2"/>
      <c r="BM68" s="2"/>
    </row>
    <row r="69" spans="6:65" hidden="1">
      <c r="F69" s="2">
        <v>5</v>
      </c>
      <c r="G69" s="16" t="s">
        <v>142</v>
      </c>
      <c r="H69" s="16"/>
      <c r="I69" s="2"/>
      <c r="J69" s="2" t="str">
        <f t="shared" si="1"/>
        <v/>
      </c>
      <c r="K69" s="2"/>
      <c r="L69" s="2"/>
      <c r="M69" s="2"/>
      <c r="N69" s="2"/>
      <c r="O69" s="2"/>
      <c r="P69" s="2"/>
      <c r="Q69" s="2"/>
      <c r="R69" s="2"/>
      <c r="S69" s="2"/>
      <c r="T69" s="2"/>
      <c r="V69" s="2">
        <v>5</v>
      </c>
      <c r="W69" s="16" t="s">
        <v>142</v>
      </c>
      <c r="X69" s="16"/>
      <c r="Y69" s="2"/>
      <c r="Z69" s="2" t="str">
        <f t="shared" si="2"/>
        <v/>
      </c>
      <c r="AA69" s="2"/>
      <c r="AB69" s="2"/>
      <c r="AC69" s="2"/>
      <c r="AD69" s="2"/>
      <c r="AE69" s="2"/>
      <c r="AF69" s="2"/>
      <c r="AG69" s="2"/>
      <c r="AH69" s="2"/>
      <c r="AI69" s="2"/>
      <c r="AJ69" s="2">
        <v>5</v>
      </c>
      <c r="AK69" s="16" t="s">
        <v>142</v>
      </c>
      <c r="AL69" s="16"/>
      <c r="AM69" s="2"/>
      <c r="AN69" s="2" t="str">
        <f t="shared" si="3"/>
        <v/>
      </c>
      <c r="AO69" s="2"/>
      <c r="AP69" s="2"/>
      <c r="AQ69" s="2"/>
      <c r="AR69" s="2"/>
      <c r="AS69" s="2"/>
      <c r="AT69" s="2"/>
      <c r="AU69" s="2"/>
      <c r="AV69" s="2"/>
      <c r="AX69" s="2">
        <v>5</v>
      </c>
      <c r="AY69" s="16" t="s">
        <v>142</v>
      </c>
      <c r="AZ69" s="16"/>
      <c r="BA69" s="2"/>
      <c r="BB69" s="2" t="str">
        <f t="shared" si="4"/>
        <v/>
      </c>
      <c r="BC69" s="2"/>
      <c r="BD69" s="2"/>
      <c r="BE69" s="2"/>
      <c r="BF69" s="2"/>
      <c r="BG69" s="2"/>
      <c r="BH69" s="2"/>
      <c r="BI69" s="2"/>
      <c r="BL69" s="2"/>
      <c r="BM69" s="2"/>
    </row>
    <row r="70" spans="6:65" hidden="1">
      <c r="F70" s="2">
        <v>6</v>
      </c>
      <c r="G70" s="87" t="s">
        <v>13</v>
      </c>
      <c r="H70" s="16"/>
      <c r="I70" s="2"/>
      <c r="J70" s="2" t="str">
        <f t="shared" si="1"/>
        <v/>
      </c>
      <c r="K70" s="2" t="str">
        <f>IFERROR(SMALL(J$65:J$68,F70),"")</f>
        <v/>
      </c>
      <c r="L70" s="2"/>
      <c r="M70" s="2"/>
      <c r="N70" s="2"/>
      <c r="O70" s="2"/>
      <c r="P70" s="2"/>
      <c r="Q70" s="2"/>
      <c r="R70" s="2"/>
      <c r="S70" s="2"/>
      <c r="T70" s="2"/>
      <c r="V70" s="2">
        <v>6</v>
      </c>
      <c r="W70" s="87" t="s">
        <v>13</v>
      </c>
      <c r="X70" s="16"/>
      <c r="Y70" s="2"/>
      <c r="Z70" s="2" t="str">
        <f t="shared" si="2"/>
        <v/>
      </c>
      <c r="AA70" s="2" t="str">
        <f>IFERROR(SMALL(Z$65:Z$68,V70),"")</f>
        <v/>
      </c>
      <c r="AB70" s="2"/>
      <c r="AC70" s="2"/>
      <c r="AD70" s="2"/>
      <c r="AE70" s="2"/>
      <c r="AF70" s="2"/>
      <c r="AG70" s="2"/>
      <c r="AH70" s="2"/>
      <c r="AI70" s="2"/>
      <c r="AJ70" s="2">
        <v>6</v>
      </c>
      <c r="AK70" s="87" t="s">
        <v>13</v>
      </c>
      <c r="AL70" s="16"/>
      <c r="AM70" s="2"/>
      <c r="AN70" s="2" t="str">
        <f t="shared" si="3"/>
        <v/>
      </c>
      <c r="AO70" s="2" t="str">
        <f>IFERROR(SMALL(AN$65:AN$68,AJ70),"")</f>
        <v/>
      </c>
      <c r="AP70" s="2"/>
      <c r="AQ70" s="2"/>
      <c r="AR70" s="2"/>
      <c r="AS70" s="2"/>
      <c r="AT70" s="2"/>
      <c r="AU70" s="2"/>
      <c r="AV70" s="2"/>
      <c r="AX70" s="2">
        <v>6</v>
      </c>
      <c r="AY70" s="87" t="s">
        <v>13</v>
      </c>
      <c r="AZ70" s="16"/>
      <c r="BA70" s="2"/>
      <c r="BB70" s="2" t="str">
        <f t="shared" si="4"/>
        <v/>
      </c>
      <c r="BC70" s="2" t="str">
        <f>IFERROR(SMALL(BB$65:BB$68,AX70),"")</f>
        <v/>
      </c>
      <c r="BD70" s="2"/>
      <c r="BE70" s="2"/>
      <c r="BF70" s="2"/>
      <c r="BG70" s="2"/>
      <c r="BH70" s="2"/>
      <c r="BI70" s="2"/>
      <c r="BL70" s="2"/>
      <c r="BM70" s="2"/>
    </row>
    <row r="71" spans="6:65" hidden="1">
      <c r="F71" s="2"/>
      <c r="G71" s="16" t="s">
        <v>43</v>
      </c>
      <c r="H71" s="16"/>
      <c r="I71" s="2"/>
      <c r="J71" s="2"/>
      <c r="K71" s="2"/>
      <c r="L71" s="2"/>
      <c r="M71" s="2"/>
      <c r="N71" s="2"/>
      <c r="O71" s="2"/>
      <c r="P71" s="2"/>
      <c r="Q71" s="2"/>
      <c r="R71" s="2"/>
      <c r="S71" s="2"/>
      <c r="T71" s="2"/>
      <c r="V71" s="2"/>
      <c r="W71" s="16" t="s">
        <v>43</v>
      </c>
      <c r="X71" s="16"/>
      <c r="Y71" s="2"/>
      <c r="Z71" s="2"/>
      <c r="AA71" s="2"/>
      <c r="AB71" s="2"/>
      <c r="AC71" s="2"/>
      <c r="AD71" s="2"/>
      <c r="AE71" s="2"/>
      <c r="AF71" s="2"/>
      <c r="AG71" s="2"/>
      <c r="AH71" s="2"/>
      <c r="AI71" s="2"/>
      <c r="AJ71" s="2"/>
      <c r="AK71" s="16"/>
      <c r="AL71" s="16"/>
      <c r="AM71" s="2"/>
      <c r="AN71" s="2"/>
      <c r="AO71" s="2"/>
      <c r="AP71" s="2"/>
      <c r="AQ71" s="2"/>
      <c r="AR71" s="2"/>
      <c r="AS71" s="2"/>
      <c r="AT71" s="2"/>
      <c r="AU71" s="2"/>
      <c r="AV71" s="2"/>
      <c r="AX71" s="2"/>
      <c r="AY71" s="16"/>
      <c r="AZ71" s="16"/>
      <c r="BA71" s="2"/>
      <c r="BB71" s="2"/>
      <c r="BC71" s="2"/>
      <c r="BD71" s="2"/>
      <c r="BE71" s="2"/>
      <c r="BF71" s="2"/>
      <c r="BG71" s="2"/>
      <c r="BH71" s="2"/>
      <c r="BI71" s="2"/>
      <c r="BL71" s="2"/>
      <c r="BM71" s="2"/>
    </row>
    <row r="72" spans="6:65" s="144" customFormat="1" ht="15.75" hidden="1" thickBot="1">
      <c r="F72" s="142"/>
      <c r="G72" s="143"/>
      <c r="H72" s="143"/>
      <c r="I72" s="142"/>
      <c r="J72" s="142"/>
      <c r="K72" s="142"/>
      <c r="L72" s="142"/>
      <c r="M72" s="142"/>
      <c r="N72" s="142"/>
      <c r="O72" s="142"/>
      <c r="P72" s="142"/>
      <c r="Q72" s="142"/>
      <c r="R72" s="142"/>
      <c r="S72" s="142"/>
      <c r="T72" s="142"/>
      <c r="V72" s="142"/>
      <c r="W72" s="143"/>
      <c r="X72" s="143"/>
      <c r="Y72" s="142"/>
      <c r="Z72" s="142"/>
      <c r="AA72" s="142"/>
      <c r="AB72" s="142"/>
      <c r="AC72" s="142"/>
      <c r="AD72" s="142"/>
      <c r="AE72" s="142"/>
      <c r="AF72" s="142"/>
      <c r="AG72" s="142"/>
      <c r="AH72" s="142"/>
      <c r="AI72" s="142"/>
      <c r="AT72" s="142"/>
      <c r="AU72" s="142"/>
      <c r="AV72" s="142"/>
      <c r="AX72" s="142"/>
      <c r="AY72" s="145" t="s">
        <v>44</v>
      </c>
      <c r="AZ72" s="143"/>
      <c r="BB72" s="146" t="s">
        <v>143</v>
      </c>
      <c r="BC72" s="142"/>
      <c r="BD72" s="145" t="s">
        <v>44</v>
      </c>
      <c r="BE72" s="143"/>
      <c r="BG72" s="146" t="s">
        <v>46</v>
      </c>
      <c r="BH72" s="142"/>
      <c r="BI72" s="142"/>
      <c r="BL72" s="142"/>
      <c r="BM72" s="142"/>
    </row>
    <row r="73" spans="6:65" ht="15.75" hidden="1" thickTop="1">
      <c r="G73" s="55" t="s">
        <v>44</v>
      </c>
      <c r="H73" s="16"/>
      <c r="J73" s="60" t="s">
        <v>143</v>
      </c>
      <c r="K73" s="2"/>
      <c r="L73" s="55" t="s">
        <v>44</v>
      </c>
      <c r="M73" s="16"/>
      <c r="O73" s="60" t="s">
        <v>46</v>
      </c>
      <c r="P73" s="2"/>
      <c r="Q73" s="2"/>
      <c r="R73" s="2"/>
      <c r="S73" s="2"/>
      <c r="T73" s="2"/>
      <c r="V73" s="2"/>
      <c r="W73" s="55" t="s">
        <v>44</v>
      </c>
      <c r="X73" s="16"/>
      <c r="Z73" s="60" t="s">
        <v>143</v>
      </c>
      <c r="AA73" s="2"/>
      <c r="AB73" s="55" t="s">
        <v>44</v>
      </c>
      <c r="AC73" s="16"/>
      <c r="AE73" s="60" t="s">
        <v>46</v>
      </c>
      <c r="AF73" s="2"/>
      <c r="AG73" s="2"/>
      <c r="AH73" s="2"/>
      <c r="AI73" s="2"/>
      <c r="AJ73" s="2"/>
      <c r="AK73" s="55" t="s">
        <v>44</v>
      </c>
      <c r="AL73" s="16"/>
      <c r="AN73" s="60" t="s">
        <v>143</v>
      </c>
      <c r="AO73" s="2"/>
      <c r="AP73" s="55" t="s">
        <v>44</v>
      </c>
      <c r="AQ73" s="16"/>
      <c r="AS73" s="60" t="s">
        <v>46</v>
      </c>
      <c r="AT73" s="2"/>
      <c r="AU73" s="2"/>
      <c r="AV73" s="2"/>
      <c r="AX73" s="2"/>
      <c r="AY73" s="55" t="s">
        <v>44</v>
      </c>
      <c r="AZ73" s="16"/>
      <c r="BB73" s="60" t="s">
        <v>143</v>
      </c>
      <c r="BC73" s="2"/>
      <c r="BD73" s="55" t="s">
        <v>44</v>
      </c>
      <c r="BE73" s="16"/>
      <c r="BG73" s="60" t="s">
        <v>46</v>
      </c>
      <c r="BH73" s="2"/>
      <c r="BI73" s="2"/>
      <c r="BL73" s="2"/>
      <c r="BM73" s="2"/>
    </row>
    <row r="74" spans="6:65" hidden="1">
      <c r="F74" s="2"/>
      <c r="G74" s="16"/>
      <c r="H74" s="16" t="s">
        <v>40</v>
      </c>
      <c r="I74" s="56" t="s">
        <v>40</v>
      </c>
      <c r="J74" s="58"/>
      <c r="K74" s="59"/>
      <c r="L74" s="16"/>
      <c r="M74" s="16" t="s">
        <v>40</v>
      </c>
      <c r="N74" s="56" t="s">
        <v>40</v>
      </c>
      <c r="O74" s="58"/>
      <c r="P74" s="2"/>
      <c r="Q74" s="2"/>
      <c r="R74" s="2"/>
      <c r="S74" s="2"/>
      <c r="T74" s="2"/>
      <c r="V74" s="2"/>
      <c r="W74" s="16"/>
      <c r="X74" s="16" t="s">
        <v>40</v>
      </c>
      <c r="Y74" s="56" t="s">
        <v>40</v>
      </c>
      <c r="Z74" s="58"/>
      <c r="AA74" s="59"/>
      <c r="AB74" s="16"/>
      <c r="AC74" s="16" t="s">
        <v>40</v>
      </c>
      <c r="AD74" s="56" t="s">
        <v>40</v>
      </c>
      <c r="AE74" s="58"/>
      <c r="AF74" s="2"/>
      <c r="AG74" s="2"/>
      <c r="AH74" s="2"/>
      <c r="AI74" s="2"/>
      <c r="AJ74" s="2"/>
      <c r="AK74" s="16"/>
      <c r="AL74" s="16" t="s">
        <v>40</v>
      </c>
      <c r="AM74" s="56" t="s">
        <v>40</v>
      </c>
      <c r="AN74" s="58"/>
      <c r="AO74" s="59"/>
      <c r="AP74" s="16"/>
      <c r="AQ74" s="16" t="s">
        <v>40</v>
      </c>
      <c r="AR74" s="56" t="s">
        <v>40</v>
      </c>
      <c r="AS74" s="58"/>
      <c r="AT74" s="2"/>
      <c r="AU74" s="2"/>
      <c r="AV74" s="2"/>
      <c r="AX74" s="2"/>
      <c r="AY74" s="16"/>
      <c r="AZ74" s="16" t="s">
        <v>40</v>
      </c>
      <c r="BA74" s="56" t="s">
        <v>40</v>
      </c>
      <c r="BB74" s="58"/>
      <c r="BC74" s="59"/>
      <c r="BD74" s="16"/>
      <c r="BE74" s="16" t="s">
        <v>40</v>
      </c>
      <c r="BF74" s="56" t="s">
        <v>40</v>
      </c>
      <c r="BG74" s="58"/>
      <c r="BH74" s="2"/>
      <c r="BI74" s="2"/>
      <c r="BL74" s="2"/>
      <c r="BM74" s="2"/>
    </row>
    <row r="75" spans="6:65" hidden="1">
      <c r="F75" s="2">
        <v>1</v>
      </c>
      <c r="G75" s="2" t="s">
        <v>110</v>
      </c>
      <c r="H75" s="16" t="str">
        <f t="shared" ref="H75:H84" si="5">IF((J$10=G75),F75,"")</f>
        <v/>
      </c>
      <c r="I75" s="2">
        <f>IFERROR(SMALL(H$75:H$84,F75),"")</f>
        <v>2</v>
      </c>
      <c r="J75" s="57"/>
      <c r="K75" s="2">
        <v>1</v>
      </c>
      <c r="L75" s="2" t="s">
        <v>110</v>
      </c>
      <c r="M75" s="57" t="str">
        <f>IF((J$10=L75),K75,"")</f>
        <v/>
      </c>
      <c r="N75" s="2">
        <f>IFERROR(SMALL(M$75:M$82,K75),"")</f>
        <v>2</v>
      </c>
      <c r="O75" s="2"/>
      <c r="P75" s="2"/>
      <c r="Q75" s="2"/>
      <c r="R75" s="2"/>
      <c r="S75" s="2"/>
      <c r="T75" s="2"/>
      <c r="V75" s="2">
        <v>1</v>
      </c>
      <c r="W75" s="2" t="s">
        <v>110</v>
      </c>
      <c r="X75" s="16" t="str">
        <f>IF((K$10=W75),V75,"")</f>
        <v/>
      </c>
      <c r="Y75" s="2">
        <f>IFERROR(SMALL(X$75:X$84,V75),"")</f>
        <v>2</v>
      </c>
      <c r="Z75" s="57"/>
      <c r="AA75" s="2">
        <v>1</v>
      </c>
      <c r="AB75" s="2" t="s">
        <v>110</v>
      </c>
      <c r="AC75" s="57" t="str">
        <f>IF((K$10=AB75),AA75,"")</f>
        <v/>
      </c>
      <c r="AD75" s="2">
        <f>IFERROR(SMALL(AC$75:AC$81,AA75),"")</f>
        <v>2</v>
      </c>
      <c r="AE75" s="2"/>
      <c r="AF75" s="2"/>
      <c r="AG75" s="2"/>
      <c r="AH75" s="2"/>
      <c r="AI75" s="2"/>
      <c r="AJ75" s="2">
        <v>1</v>
      </c>
      <c r="AK75" s="2" t="s">
        <v>110</v>
      </c>
      <c r="AL75" s="16" t="str">
        <f t="shared" ref="AL75:AL83" si="6">IF((L$10=AK75),AJ75,"")</f>
        <v/>
      </c>
      <c r="AM75" s="2">
        <f>IFERROR(SMALL(AL$75:AL$83,AJ75),"")</f>
        <v>2</v>
      </c>
      <c r="AN75" s="57"/>
      <c r="AO75" s="2">
        <v>1</v>
      </c>
      <c r="AP75" s="2" t="s">
        <v>110</v>
      </c>
      <c r="AQ75" s="57" t="str">
        <f t="shared" ref="AQ75:AQ81" si="7">IF((L$10=AP75),AO75,"")</f>
        <v/>
      </c>
      <c r="AR75" s="2">
        <f>IFERROR(SMALL(AQ$75:AQ$81,AO75),"")</f>
        <v>2</v>
      </c>
      <c r="AS75" s="2"/>
      <c r="AT75" s="2"/>
      <c r="AU75" s="2"/>
      <c r="AV75" s="2"/>
      <c r="AX75" s="2">
        <v>1</v>
      </c>
      <c r="AY75" s="2" t="s">
        <v>110</v>
      </c>
      <c r="AZ75" s="16" t="str">
        <f>IF((M$10=AY75),AX75,"")</f>
        <v/>
      </c>
      <c r="BA75" s="2">
        <f>IFERROR(SMALL(AZ$75:AZ$83,AX75),"")</f>
        <v>2</v>
      </c>
      <c r="BB75" s="57"/>
      <c r="BC75" s="2">
        <v>1</v>
      </c>
      <c r="BD75" s="2" t="s">
        <v>110</v>
      </c>
      <c r="BE75" s="57" t="str">
        <f>IF((M$10=BD75),BC75,"")</f>
        <v/>
      </c>
      <c r="BF75" s="2">
        <f>IFERROR(SMALL(BE$75:BE$81,BC75),"")</f>
        <v>2</v>
      </c>
      <c r="BG75" s="2"/>
      <c r="BH75" s="2"/>
      <c r="BI75" s="2"/>
      <c r="BL75" s="2"/>
      <c r="BM75" s="2"/>
    </row>
    <row r="76" spans="6:65" hidden="1">
      <c r="F76" s="2">
        <v>2</v>
      </c>
      <c r="G76" s="2" t="s">
        <v>21</v>
      </c>
      <c r="H76" s="16">
        <f>IF((J$10=G76),F76,"")</f>
        <v>2</v>
      </c>
      <c r="I76" s="2"/>
      <c r="J76" s="57"/>
      <c r="K76" s="60">
        <v>2</v>
      </c>
      <c r="L76" s="61" t="s">
        <v>21</v>
      </c>
      <c r="M76" s="57">
        <f>IF((J$10=L76),K76,"")</f>
        <v>2</v>
      </c>
      <c r="N76" s="2" t="str">
        <f t="shared" ref="N76:N81" si="8">IFERROR(SMALL(L$76:L$82,K77),"")</f>
        <v/>
      </c>
      <c r="O76" s="2"/>
      <c r="P76" s="2"/>
      <c r="Q76" s="2"/>
      <c r="R76" s="2"/>
      <c r="S76" s="2"/>
      <c r="T76" s="2"/>
      <c r="V76" s="2">
        <v>2</v>
      </c>
      <c r="W76" s="2" t="s">
        <v>21</v>
      </c>
      <c r="X76" s="16">
        <f t="shared" ref="X76:X84" si="9">IF((K$10=W76),V76,"")</f>
        <v>2</v>
      </c>
      <c r="Y76" s="2"/>
      <c r="Z76" s="57"/>
      <c r="AA76" s="60">
        <v>2</v>
      </c>
      <c r="AB76" s="61" t="s">
        <v>21</v>
      </c>
      <c r="AC76" s="57">
        <f t="shared" ref="AC76:AC82" si="10">IF((K$10=AB76),AA76,"")</f>
        <v>2</v>
      </c>
      <c r="AD76" s="2" t="str">
        <f t="shared" ref="AD76:AD81" si="11">IFERROR(SMALL(AB$76:AB$82,AA77),"")</f>
        <v/>
      </c>
      <c r="AE76" s="2"/>
      <c r="AF76" s="2"/>
      <c r="AG76" s="2"/>
      <c r="AH76" s="2"/>
      <c r="AI76" s="2"/>
      <c r="AJ76" s="2">
        <v>2</v>
      </c>
      <c r="AK76" s="2" t="s">
        <v>21</v>
      </c>
      <c r="AL76" s="16">
        <f t="shared" si="6"/>
        <v>2</v>
      </c>
      <c r="AM76" s="2"/>
      <c r="AN76" s="57"/>
      <c r="AO76" s="60">
        <v>2</v>
      </c>
      <c r="AP76" s="61" t="s">
        <v>21</v>
      </c>
      <c r="AQ76" s="57">
        <f t="shared" si="7"/>
        <v>2</v>
      </c>
      <c r="AR76" s="2" t="str">
        <f t="shared" ref="AR76:AR81" si="12">IFERROR(SMALL(AP$77:AP$83,AO77),"")</f>
        <v/>
      </c>
      <c r="AS76" s="2"/>
      <c r="AT76" s="2"/>
      <c r="AU76" s="2"/>
      <c r="AV76" s="2"/>
      <c r="AX76" s="2">
        <v>2</v>
      </c>
      <c r="AY76" s="2" t="s">
        <v>21</v>
      </c>
      <c r="AZ76" s="16">
        <f t="shared" ref="AZ76:AZ83" si="13">IF((M$10=AY76),AX76,"")</f>
        <v>2</v>
      </c>
      <c r="BA76" s="2"/>
      <c r="BB76" s="57"/>
      <c r="BC76" s="60">
        <v>2</v>
      </c>
      <c r="BD76" s="61" t="s">
        <v>21</v>
      </c>
      <c r="BE76" s="57">
        <f t="shared" ref="BE76:BE83" si="14">IF((M$10=BD76),BC76,"")</f>
        <v>2</v>
      </c>
      <c r="BF76" s="2" t="str">
        <f t="shared" ref="BF76:BF81" si="15">IFERROR(SMALL(BD$77:BD$83,BC77),"")</f>
        <v/>
      </c>
      <c r="BG76" s="2"/>
      <c r="BH76" s="2"/>
      <c r="BI76" s="2"/>
      <c r="BL76" s="2"/>
      <c r="BM76" s="2"/>
    </row>
    <row r="77" spans="6:65" hidden="1">
      <c r="F77" s="2">
        <v>3</v>
      </c>
      <c r="G77" s="2" t="s">
        <v>47</v>
      </c>
      <c r="H77" s="16" t="str">
        <f>IF((J$10=G77),F77,"")</f>
        <v/>
      </c>
      <c r="I77" s="2"/>
      <c r="J77" s="57"/>
      <c r="K77" s="60">
        <v>3</v>
      </c>
      <c r="L77" s="61" t="s">
        <v>47</v>
      </c>
      <c r="M77" s="57" t="str">
        <f t="shared" ref="M77:M82" si="16">IF((J$10=L77),K77,"")</f>
        <v/>
      </c>
      <c r="N77" s="2" t="str">
        <f t="shared" si="8"/>
        <v/>
      </c>
      <c r="O77" s="2"/>
      <c r="P77" s="2"/>
      <c r="Q77" s="2"/>
      <c r="R77" s="2"/>
      <c r="S77" s="2"/>
      <c r="T77" s="2"/>
      <c r="V77" s="2">
        <v>3</v>
      </c>
      <c r="W77" s="2" t="s">
        <v>47</v>
      </c>
      <c r="X77" s="16" t="str">
        <f t="shared" si="9"/>
        <v/>
      </c>
      <c r="Y77" s="2"/>
      <c r="Z77" s="57"/>
      <c r="AA77" s="60">
        <v>3</v>
      </c>
      <c r="AB77" s="61" t="s">
        <v>47</v>
      </c>
      <c r="AC77" s="57" t="str">
        <f t="shared" si="10"/>
        <v/>
      </c>
      <c r="AD77" s="2" t="str">
        <f t="shared" si="11"/>
        <v/>
      </c>
      <c r="AE77" s="2"/>
      <c r="AF77" s="2"/>
      <c r="AG77" s="2"/>
      <c r="AH77" s="2"/>
      <c r="AI77" s="2"/>
      <c r="AJ77" s="2">
        <v>3</v>
      </c>
      <c r="AK77" s="2" t="s">
        <v>47</v>
      </c>
      <c r="AL77" s="16" t="str">
        <f t="shared" si="6"/>
        <v/>
      </c>
      <c r="AM77" s="2"/>
      <c r="AN77" s="57"/>
      <c r="AO77" s="60">
        <v>3</v>
      </c>
      <c r="AP77" s="61" t="s">
        <v>47</v>
      </c>
      <c r="AQ77" s="57" t="str">
        <f t="shared" si="7"/>
        <v/>
      </c>
      <c r="AR77" s="2" t="str">
        <f t="shared" si="12"/>
        <v/>
      </c>
      <c r="AS77" s="2"/>
      <c r="AT77" s="2"/>
      <c r="AU77" s="2"/>
      <c r="AV77" s="2"/>
      <c r="AX77" s="2">
        <v>3</v>
      </c>
      <c r="AY77" s="2" t="s">
        <v>47</v>
      </c>
      <c r="AZ77" s="16" t="str">
        <f t="shared" si="13"/>
        <v/>
      </c>
      <c r="BA77" s="2"/>
      <c r="BB77" s="57"/>
      <c r="BC77" s="60">
        <v>3</v>
      </c>
      <c r="BD77" s="61" t="s">
        <v>47</v>
      </c>
      <c r="BE77" s="57" t="str">
        <f t="shared" si="14"/>
        <v/>
      </c>
      <c r="BF77" s="2" t="str">
        <f t="shared" si="15"/>
        <v/>
      </c>
      <c r="BG77" s="2"/>
      <c r="BH77" s="2"/>
      <c r="BI77" s="2"/>
      <c r="BL77" s="2"/>
      <c r="BM77" s="2"/>
    </row>
    <row r="78" spans="6:65" hidden="1">
      <c r="F78" s="2">
        <v>4</v>
      </c>
      <c r="G78" s="2" t="s">
        <v>48</v>
      </c>
      <c r="H78" s="16" t="str">
        <f>IF((J$10=G78),F78,"")</f>
        <v/>
      </c>
      <c r="I78" s="2"/>
      <c r="J78" s="57"/>
      <c r="K78" s="60">
        <v>4</v>
      </c>
      <c r="L78" s="61" t="s">
        <v>48</v>
      </c>
      <c r="M78" s="57" t="str">
        <f t="shared" si="16"/>
        <v/>
      </c>
      <c r="N78" s="2" t="str">
        <f t="shared" si="8"/>
        <v/>
      </c>
      <c r="O78" s="2"/>
      <c r="P78" s="2"/>
      <c r="Q78" s="2"/>
      <c r="R78" s="2"/>
      <c r="S78" s="2"/>
      <c r="T78" s="2"/>
      <c r="V78" s="2">
        <v>4</v>
      </c>
      <c r="W78" s="2" t="s">
        <v>48</v>
      </c>
      <c r="X78" s="16" t="str">
        <f t="shared" si="9"/>
        <v/>
      </c>
      <c r="Y78" s="2"/>
      <c r="Z78" s="57"/>
      <c r="AA78" s="60">
        <v>4</v>
      </c>
      <c r="AB78" s="61" t="s">
        <v>48</v>
      </c>
      <c r="AC78" s="57" t="str">
        <f t="shared" si="10"/>
        <v/>
      </c>
      <c r="AD78" s="2" t="str">
        <f t="shared" si="11"/>
        <v/>
      </c>
      <c r="AE78" s="2"/>
      <c r="AF78" s="2"/>
      <c r="AG78" s="2"/>
      <c r="AH78" s="2"/>
      <c r="AI78" s="2"/>
      <c r="AJ78" s="2">
        <v>4</v>
      </c>
      <c r="AK78" s="2" t="s">
        <v>48</v>
      </c>
      <c r="AL78" s="16" t="str">
        <f t="shared" si="6"/>
        <v/>
      </c>
      <c r="AM78" s="2"/>
      <c r="AN78" s="57"/>
      <c r="AO78" s="60">
        <v>4</v>
      </c>
      <c r="AP78" s="61" t="s">
        <v>48</v>
      </c>
      <c r="AQ78" s="57" t="str">
        <f t="shared" si="7"/>
        <v/>
      </c>
      <c r="AR78" s="2" t="str">
        <f t="shared" si="12"/>
        <v/>
      </c>
      <c r="AS78" s="2"/>
      <c r="AT78" s="2"/>
      <c r="AU78" s="2"/>
      <c r="AV78" s="2"/>
      <c r="AX78" s="2">
        <v>4</v>
      </c>
      <c r="AY78" s="2" t="s">
        <v>48</v>
      </c>
      <c r="AZ78" s="16" t="str">
        <f t="shared" si="13"/>
        <v/>
      </c>
      <c r="BA78" s="2"/>
      <c r="BB78" s="57"/>
      <c r="BC78" s="60">
        <v>4</v>
      </c>
      <c r="BD78" s="61" t="s">
        <v>48</v>
      </c>
      <c r="BE78" s="57" t="str">
        <f t="shared" si="14"/>
        <v/>
      </c>
      <c r="BF78" s="2" t="str">
        <f t="shared" si="15"/>
        <v/>
      </c>
      <c r="BG78" s="2"/>
      <c r="BH78" s="2"/>
      <c r="BI78" s="2"/>
      <c r="BL78" s="2"/>
      <c r="BM78" s="2"/>
    </row>
    <row r="79" spans="6:65" hidden="1">
      <c r="F79" s="2">
        <v>5</v>
      </c>
      <c r="G79" s="2" t="s">
        <v>49</v>
      </c>
      <c r="H79" s="16" t="str">
        <f t="shared" si="5"/>
        <v/>
      </c>
      <c r="I79" s="2"/>
      <c r="J79" s="57"/>
      <c r="K79" s="60">
        <v>5</v>
      </c>
      <c r="L79" s="61" t="s">
        <v>49</v>
      </c>
      <c r="M79" s="57" t="str">
        <f t="shared" si="16"/>
        <v/>
      </c>
      <c r="N79" s="2" t="str">
        <f t="shared" si="8"/>
        <v/>
      </c>
      <c r="O79" s="2"/>
      <c r="P79" s="2"/>
      <c r="Q79" s="2"/>
      <c r="R79" s="2"/>
      <c r="S79" s="2"/>
      <c r="T79" s="2"/>
      <c r="V79" s="2">
        <v>5</v>
      </c>
      <c r="W79" s="2" t="s">
        <v>49</v>
      </c>
      <c r="X79" s="16" t="str">
        <f t="shared" si="9"/>
        <v/>
      </c>
      <c r="Y79" s="2"/>
      <c r="Z79" s="57"/>
      <c r="AA79" s="60">
        <v>5</v>
      </c>
      <c r="AB79" s="61" t="s">
        <v>49</v>
      </c>
      <c r="AC79" s="57" t="str">
        <f t="shared" si="10"/>
        <v/>
      </c>
      <c r="AD79" s="2" t="str">
        <f t="shared" si="11"/>
        <v/>
      </c>
      <c r="AE79" s="2"/>
      <c r="AF79" s="2"/>
      <c r="AG79" s="2"/>
      <c r="AH79" s="2"/>
      <c r="AI79" s="2"/>
      <c r="AJ79" s="2">
        <v>5</v>
      </c>
      <c r="AK79" s="2" t="s">
        <v>49</v>
      </c>
      <c r="AL79" s="16" t="str">
        <f t="shared" si="6"/>
        <v/>
      </c>
      <c r="AM79" s="2"/>
      <c r="AN79" s="57"/>
      <c r="AO79" s="60">
        <v>5</v>
      </c>
      <c r="AP79" s="61" t="s">
        <v>49</v>
      </c>
      <c r="AQ79" s="57" t="str">
        <f t="shared" si="7"/>
        <v/>
      </c>
      <c r="AR79" s="2" t="str">
        <f t="shared" si="12"/>
        <v/>
      </c>
      <c r="AS79" s="2"/>
      <c r="AT79" s="2"/>
      <c r="AU79" s="2"/>
      <c r="AV79" s="2"/>
      <c r="AX79" s="2">
        <v>5</v>
      </c>
      <c r="AY79" s="2" t="s">
        <v>49</v>
      </c>
      <c r="AZ79" s="16" t="str">
        <f t="shared" si="13"/>
        <v/>
      </c>
      <c r="BA79" s="2"/>
      <c r="BB79" s="57"/>
      <c r="BC79" s="60">
        <v>5</v>
      </c>
      <c r="BD79" s="61" t="s">
        <v>49</v>
      </c>
      <c r="BE79" s="57" t="str">
        <f t="shared" si="14"/>
        <v/>
      </c>
      <c r="BF79" s="2" t="str">
        <f t="shared" si="15"/>
        <v/>
      </c>
      <c r="BG79" s="2"/>
      <c r="BH79" s="2"/>
      <c r="BI79" s="2"/>
      <c r="BL79" s="2"/>
      <c r="BM79" s="2"/>
    </row>
    <row r="80" spans="6:65" hidden="1">
      <c r="F80" s="2">
        <v>6</v>
      </c>
      <c r="G80" s="2" t="s">
        <v>50</v>
      </c>
      <c r="H80" s="16" t="str">
        <f t="shared" si="5"/>
        <v/>
      </c>
      <c r="I80" s="2"/>
      <c r="J80" s="57"/>
      <c r="K80" s="60">
        <v>6</v>
      </c>
      <c r="L80" s="61" t="s">
        <v>50</v>
      </c>
      <c r="M80" s="57" t="str">
        <f t="shared" si="16"/>
        <v/>
      </c>
      <c r="N80" s="2" t="str">
        <f t="shared" si="8"/>
        <v/>
      </c>
      <c r="O80" s="2"/>
      <c r="P80" s="2"/>
      <c r="Q80" s="2"/>
      <c r="R80" s="2"/>
      <c r="S80" s="2"/>
      <c r="T80" s="2"/>
      <c r="V80" s="2">
        <v>6</v>
      </c>
      <c r="W80" s="2" t="s">
        <v>50</v>
      </c>
      <c r="X80" s="16" t="str">
        <f t="shared" si="9"/>
        <v/>
      </c>
      <c r="Y80" s="2"/>
      <c r="Z80" s="57"/>
      <c r="AA80" s="60">
        <v>6</v>
      </c>
      <c r="AB80" s="61" t="s">
        <v>50</v>
      </c>
      <c r="AC80" s="57" t="str">
        <f t="shared" si="10"/>
        <v/>
      </c>
      <c r="AD80" s="2" t="str">
        <f t="shared" si="11"/>
        <v/>
      </c>
      <c r="AE80" s="2"/>
      <c r="AF80" s="2"/>
      <c r="AG80" s="2"/>
      <c r="AH80" s="2"/>
      <c r="AI80" s="2"/>
      <c r="AJ80" s="2">
        <v>6</v>
      </c>
      <c r="AK80" s="2" t="s">
        <v>50</v>
      </c>
      <c r="AL80" s="16" t="str">
        <f t="shared" si="6"/>
        <v/>
      </c>
      <c r="AM80" s="2"/>
      <c r="AN80" s="57"/>
      <c r="AO80" s="60">
        <v>6</v>
      </c>
      <c r="AP80" s="61" t="s">
        <v>50</v>
      </c>
      <c r="AQ80" s="57" t="str">
        <f t="shared" si="7"/>
        <v/>
      </c>
      <c r="AR80" s="2" t="str">
        <f t="shared" si="12"/>
        <v/>
      </c>
      <c r="AS80" s="2"/>
      <c r="AT80" s="2"/>
      <c r="AU80" s="2"/>
      <c r="AV80" s="2"/>
      <c r="AX80" s="2">
        <v>6</v>
      </c>
      <c r="AY80" s="2" t="s">
        <v>50</v>
      </c>
      <c r="AZ80" s="16" t="str">
        <f t="shared" si="13"/>
        <v/>
      </c>
      <c r="BA80" s="2"/>
      <c r="BB80" s="57"/>
      <c r="BC80" s="60">
        <v>6</v>
      </c>
      <c r="BD80" s="61" t="s">
        <v>50</v>
      </c>
      <c r="BE80" s="57" t="str">
        <f t="shared" si="14"/>
        <v/>
      </c>
      <c r="BF80" s="2" t="str">
        <f t="shared" si="15"/>
        <v/>
      </c>
      <c r="BG80" s="2"/>
      <c r="BH80" s="2"/>
      <c r="BI80" s="2"/>
      <c r="BL80" s="2"/>
      <c r="BM80" s="2"/>
    </row>
    <row r="81" spans="6:65" hidden="1">
      <c r="F81" s="2">
        <v>7</v>
      </c>
      <c r="G81" s="2" t="s">
        <v>51</v>
      </c>
      <c r="H81" s="16" t="str">
        <f t="shared" si="5"/>
        <v/>
      </c>
      <c r="I81" s="2"/>
      <c r="J81" s="57"/>
      <c r="K81" s="60">
        <v>7</v>
      </c>
      <c r="L81" s="61" t="s">
        <v>52</v>
      </c>
      <c r="M81" s="57" t="str">
        <f t="shared" si="16"/>
        <v/>
      </c>
      <c r="N81" s="2" t="str">
        <f t="shared" si="8"/>
        <v/>
      </c>
      <c r="O81" s="2"/>
      <c r="P81" s="2"/>
      <c r="Q81" s="2"/>
      <c r="R81" s="2"/>
      <c r="S81" s="2"/>
      <c r="T81" s="2"/>
      <c r="V81" s="2">
        <v>7</v>
      </c>
      <c r="W81" s="2" t="s">
        <v>51</v>
      </c>
      <c r="X81" s="16" t="str">
        <f t="shared" si="9"/>
        <v/>
      </c>
      <c r="Y81" s="2"/>
      <c r="Z81" s="57"/>
      <c r="AA81" s="60">
        <v>7</v>
      </c>
      <c r="AB81" s="61" t="s">
        <v>52</v>
      </c>
      <c r="AC81" s="57" t="str">
        <f t="shared" si="10"/>
        <v/>
      </c>
      <c r="AD81" s="2" t="str">
        <f t="shared" si="11"/>
        <v/>
      </c>
      <c r="AE81" s="2"/>
      <c r="AF81" s="2"/>
      <c r="AG81" s="2"/>
      <c r="AH81" s="2"/>
      <c r="AI81" s="2"/>
      <c r="AJ81" s="2">
        <v>7</v>
      </c>
      <c r="AK81" s="2" t="s">
        <v>51</v>
      </c>
      <c r="AL81" s="16" t="str">
        <f t="shared" si="6"/>
        <v/>
      </c>
      <c r="AM81" s="2"/>
      <c r="AN81" s="57"/>
      <c r="AO81" s="60">
        <v>7</v>
      </c>
      <c r="AP81" s="61" t="s">
        <v>52</v>
      </c>
      <c r="AQ81" s="57" t="str">
        <f t="shared" si="7"/>
        <v/>
      </c>
      <c r="AR81" s="2" t="str">
        <f t="shared" si="12"/>
        <v/>
      </c>
      <c r="AS81" s="2"/>
      <c r="AT81" s="2"/>
      <c r="AU81" s="2"/>
      <c r="AV81" s="2"/>
      <c r="AX81" s="2">
        <v>7</v>
      </c>
      <c r="AY81" s="2" t="s">
        <v>51</v>
      </c>
      <c r="AZ81" s="16" t="str">
        <f t="shared" si="13"/>
        <v/>
      </c>
      <c r="BA81" s="2"/>
      <c r="BB81" s="57"/>
      <c r="BC81" s="60">
        <v>7</v>
      </c>
      <c r="BD81" s="61" t="s">
        <v>52</v>
      </c>
      <c r="BE81" s="57" t="str">
        <f t="shared" si="14"/>
        <v/>
      </c>
      <c r="BF81" s="2" t="str">
        <f t="shared" si="15"/>
        <v/>
      </c>
      <c r="BG81" s="2"/>
      <c r="BH81" s="2"/>
      <c r="BI81" s="2"/>
      <c r="BL81" s="2"/>
      <c r="BM81" s="2"/>
    </row>
    <row r="82" spans="6:65" hidden="1">
      <c r="F82" s="2">
        <v>8</v>
      </c>
      <c r="G82" s="2" t="s">
        <v>53</v>
      </c>
      <c r="H82" s="16" t="str">
        <f t="shared" si="5"/>
        <v/>
      </c>
      <c r="I82" s="2"/>
      <c r="J82" s="57"/>
      <c r="K82" s="60">
        <v>8</v>
      </c>
      <c r="L82" s="86" t="s">
        <v>13</v>
      </c>
      <c r="M82" s="57" t="str">
        <f t="shared" si="16"/>
        <v/>
      </c>
      <c r="N82" s="2"/>
      <c r="O82" s="2"/>
      <c r="P82" s="2"/>
      <c r="Q82" s="2"/>
      <c r="R82" s="2"/>
      <c r="S82" s="2"/>
      <c r="T82" s="2"/>
      <c r="V82" s="2">
        <v>8</v>
      </c>
      <c r="W82" s="2" t="s">
        <v>53</v>
      </c>
      <c r="X82" s="16" t="str">
        <f t="shared" si="9"/>
        <v/>
      </c>
      <c r="Y82" s="2"/>
      <c r="Z82" s="57"/>
      <c r="AA82" s="60">
        <v>8</v>
      </c>
      <c r="AB82" s="86" t="s">
        <v>13</v>
      </c>
      <c r="AC82" s="57" t="str">
        <f t="shared" si="10"/>
        <v/>
      </c>
      <c r="AD82" s="2"/>
      <c r="AE82" s="2"/>
      <c r="AF82" s="2"/>
      <c r="AG82" s="2"/>
      <c r="AH82" s="2"/>
      <c r="AI82" s="2"/>
      <c r="AJ82" s="2">
        <v>8</v>
      </c>
      <c r="AK82" s="2" t="s">
        <v>53</v>
      </c>
      <c r="AL82" s="16" t="str">
        <f t="shared" si="6"/>
        <v/>
      </c>
      <c r="AM82" s="2"/>
      <c r="AN82" s="57"/>
      <c r="AO82" s="60"/>
      <c r="AP82" s="61"/>
      <c r="AQ82" s="57"/>
      <c r="AR82" s="2"/>
      <c r="AS82" s="2"/>
      <c r="AT82" s="2"/>
      <c r="AU82" s="2"/>
      <c r="AV82" s="2"/>
      <c r="AX82" s="2">
        <v>8</v>
      </c>
      <c r="AY82" s="2" t="s">
        <v>53</v>
      </c>
      <c r="AZ82" s="16" t="str">
        <f t="shared" si="13"/>
        <v/>
      </c>
      <c r="BA82" s="2"/>
      <c r="BB82" s="57"/>
      <c r="BC82" s="60"/>
      <c r="BD82" s="61"/>
      <c r="BE82" s="57" t="str">
        <f t="shared" si="14"/>
        <v/>
      </c>
      <c r="BF82" s="2"/>
      <c r="BG82" s="2"/>
      <c r="BH82" s="2"/>
      <c r="BI82" s="2"/>
      <c r="BL82" s="2"/>
      <c r="BM82" s="2"/>
    </row>
    <row r="83" spans="6:65" hidden="1">
      <c r="F83" s="2">
        <v>9</v>
      </c>
      <c r="G83" s="2" t="s">
        <v>54</v>
      </c>
      <c r="H83" s="16" t="str">
        <f t="shared" si="5"/>
        <v/>
      </c>
      <c r="I83" s="2"/>
      <c r="J83" s="57"/>
      <c r="K83" s="57"/>
      <c r="L83" s="57"/>
      <c r="M83" s="57"/>
      <c r="N83" s="2"/>
      <c r="O83" s="2"/>
      <c r="P83" s="2"/>
      <c r="Q83" s="2"/>
      <c r="R83" s="2"/>
      <c r="S83" s="2"/>
      <c r="T83" s="2"/>
      <c r="V83" s="2">
        <v>9</v>
      </c>
      <c r="W83" s="2" t="s">
        <v>54</v>
      </c>
      <c r="X83" s="16" t="str">
        <f t="shared" si="9"/>
        <v/>
      </c>
      <c r="Y83" s="2"/>
      <c r="Z83" s="57"/>
      <c r="AA83" s="57"/>
      <c r="AB83" s="57"/>
      <c r="AC83" s="57"/>
      <c r="AD83" s="2"/>
      <c r="AE83" s="2"/>
      <c r="AF83" s="2"/>
      <c r="AG83" s="2"/>
      <c r="AH83" s="2"/>
      <c r="AI83" s="2"/>
      <c r="AJ83" s="2">
        <v>9</v>
      </c>
      <c r="AK83" s="2" t="s">
        <v>54</v>
      </c>
      <c r="AL83" s="16" t="str">
        <f t="shared" si="6"/>
        <v/>
      </c>
      <c r="AM83" s="2"/>
      <c r="AN83" s="57"/>
      <c r="AO83" s="57"/>
      <c r="AP83" s="57"/>
      <c r="AQ83" s="57"/>
      <c r="AR83" s="2"/>
      <c r="AS83" s="2"/>
      <c r="AT83" s="2"/>
      <c r="AU83" s="2"/>
      <c r="AV83" s="2"/>
      <c r="AX83" s="2">
        <v>9</v>
      </c>
      <c r="AY83" s="2" t="s">
        <v>54</v>
      </c>
      <c r="AZ83" s="16" t="str">
        <f t="shared" si="13"/>
        <v/>
      </c>
      <c r="BA83" s="2"/>
      <c r="BB83" s="57"/>
      <c r="BC83" s="57"/>
      <c r="BD83" s="57"/>
      <c r="BE83" s="57" t="str">
        <f t="shared" si="14"/>
        <v/>
      </c>
      <c r="BF83" s="2"/>
      <c r="BG83" s="2"/>
      <c r="BH83" s="2"/>
      <c r="BI83" s="2"/>
      <c r="BL83" s="2"/>
      <c r="BM83" s="2"/>
    </row>
    <row r="84" spans="6:65" s="104" customFormat="1" hidden="1">
      <c r="F84" s="105">
        <v>10</v>
      </c>
      <c r="G84" s="106" t="s">
        <v>13</v>
      </c>
      <c r="H84" s="107" t="str">
        <f t="shared" si="5"/>
        <v/>
      </c>
      <c r="I84" s="105"/>
      <c r="J84" s="105"/>
      <c r="K84" s="105"/>
      <c r="L84" s="105"/>
      <c r="M84" s="105"/>
      <c r="N84" s="105"/>
      <c r="O84" s="105"/>
      <c r="P84" s="105"/>
      <c r="Q84" s="105"/>
      <c r="R84" s="105"/>
      <c r="S84" s="105"/>
      <c r="T84" s="105"/>
      <c r="V84" s="105">
        <v>10</v>
      </c>
      <c r="W84" s="106" t="s">
        <v>13</v>
      </c>
      <c r="X84" s="107" t="str">
        <f t="shared" si="9"/>
        <v/>
      </c>
      <c r="Y84" s="105"/>
      <c r="Z84" s="105"/>
      <c r="AA84" s="105"/>
      <c r="AB84" s="105"/>
      <c r="AC84" s="105"/>
      <c r="AD84" s="105"/>
      <c r="AE84" s="105"/>
      <c r="AF84" s="105"/>
      <c r="AG84" s="105"/>
      <c r="AH84" s="105"/>
      <c r="AI84" s="105"/>
      <c r="AJ84" s="105"/>
      <c r="AK84" s="105"/>
      <c r="AL84" s="105"/>
      <c r="AM84" s="105"/>
      <c r="AN84" s="105"/>
      <c r="AO84" s="105"/>
      <c r="AP84" s="105"/>
      <c r="AQ84" s="105"/>
      <c r="AR84" s="105"/>
      <c r="AS84" s="105"/>
      <c r="AT84" s="105"/>
      <c r="AU84" s="105"/>
      <c r="AV84" s="105"/>
      <c r="AX84" s="105"/>
      <c r="AY84" s="105"/>
      <c r="AZ84" s="105"/>
      <c r="BA84" s="105"/>
      <c r="BB84" s="105"/>
      <c r="BC84" s="105"/>
      <c r="BD84" s="105"/>
      <c r="BE84" s="105"/>
      <c r="BF84" s="105"/>
      <c r="BG84" s="105"/>
      <c r="BH84" s="105"/>
      <c r="BI84" s="105"/>
      <c r="BL84" s="105"/>
      <c r="BM84" s="105"/>
    </row>
    <row r="85" spans="6:65" hidden="1">
      <c r="F85" s="2"/>
      <c r="G85" s="17"/>
      <c r="H85" s="16"/>
      <c r="I85" s="2"/>
      <c r="J85" s="2"/>
      <c r="K85" s="2"/>
      <c r="L85" s="2"/>
      <c r="M85" s="2"/>
      <c r="N85" s="2"/>
      <c r="O85" s="108"/>
      <c r="P85" s="2"/>
      <c r="Q85" s="2"/>
      <c r="R85" s="2"/>
      <c r="S85" s="2"/>
      <c r="T85" s="2"/>
      <c r="V85" s="2"/>
      <c r="W85" s="17"/>
      <c r="X85" s="16"/>
      <c r="Y85" s="2"/>
      <c r="Z85" s="2"/>
      <c r="AA85" s="2"/>
      <c r="AB85" s="2"/>
      <c r="AC85" s="2"/>
      <c r="AD85" s="2"/>
      <c r="AE85" s="2"/>
      <c r="AF85" s="2"/>
      <c r="AG85" s="2"/>
      <c r="AH85" s="2"/>
      <c r="AI85" s="2"/>
      <c r="AJ85" s="2"/>
      <c r="AK85" s="2"/>
      <c r="AL85" s="2"/>
      <c r="AM85" s="2"/>
      <c r="AN85" s="2"/>
      <c r="AO85" s="2"/>
      <c r="AP85" s="2"/>
      <c r="AQ85" s="2"/>
      <c r="AR85" s="2"/>
      <c r="AS85" s="2"/>
      <c r="AT85" s="2"/>
      <c r="AU85" s="2"/>
      <c r="AV85" s="2"/>
      <c r="AX85" s="2"/>
      <c r="AY85" s="2"/>
      <c r="AZ85" s="2"/>
      <c r="BA85" s="2"/>
      <c r="BB85" s="2"/>
      <c r="BC85" s="2"/>
      <c r="BD85" s="2"/>
      <c r="BE85" s="2"/>
      <c r="BF85" s="2"/>
      <c r="BG85" s="2"/>
      <c r="BH85" s="2"/>
      <c r="BI85" s="2"/>
      <c r="BL85" s="2"/>
      <c r="BM85" s="2"/>
    </row>
    <row r="86" spans="6:65" s="111" customFormat="1" hidden="1">
      <c r="F86" s="108">
        <v>1</v>
      </c>
      <c r="G86" s="108" t="s">
        <v>110</v>
      </c>
      <c r="H86" s="109">
        <f t="shared" ref="H86:H95" si="17">IF((J$12=G86),F86,"")</f>
        <v>1</v>
      </c>
      <c r="I86" s="108">
        <f>IFERROR(SMALL(H$86:H$95,F86),"")</f>
        <v>1</v>
      </c>
      <c r="J86" s="110"/>
      <c r="K86" s="108">
        <v>1</v>
      </c>
      <c r="L86" s="108" t="s">
        <v>110</v>
      </c>
      <c r="M86" s="110">
        <f>IF((J$12=L86),K86,"")</f>
        <v>1</v>
      </c>
      <c r="N86" s="108">
        <f>IFERROR(SMALL(M$86:M$95,K86),"")</f>
        <v>1</v>
      </c>
      <c r="P86" s="108" t="str">
        <f>IFERROR(SMALL(O$85:O$95,M86),"")</f>
        <v/>
      </c>
      <c r="Q86" s="108"/>
      <c r="R86" s="108"/>
      <c r="S86" s="108"/>
      <c r="T86" s="108"/>
      <c r="V86" s="108">
        <v>1</v>
      </c>
      <c r="W86" s="108" t="s">
        <v>110</v>
      </c>
      <c r="X86" s="109">
        <f>IF((K$12=W86),V86,"")</f>
        <v>1</v>
      </c>
      <c r="Y86" s="108">
        <f>IFERROR(SMALL(X$86:X$95,V86),"")</f>
        <v>1</v>
      </c>
      <c r="Z86" s="110"/>
      <c r="AA86" s="108">
        <v>1</v>
      </c>
      <c r="AB86" s="108" t="s">
        <v>110</v>
      </c>
      <c r="AC86" s="110">
        <f>IF((K$12=AB86),AA86,"")</f>
        <v>1</v>
      </c>
      <c r="AD86" s="108">
        <f>IFERROR(SMALL(AC$86:AC$95,AA86),"")</f>
        <v>1</v>
      </c>
      <c r="AE86" s="108"/>
      <c r="AF86" s="108"/>
      <c r="AG86" s="108"/>
      <c r="AH86" s="108"/>
      <c r="AI86" s="108"/>
      <c r="AJ86" s="108">
        <v>1</v>
      </c>
      <c r="AK86" s="108" t="s">
        <v>110</v>
      </c>
      <c r="AL86" s="109">
        <f>IF((L$12=AK86),AJ86,"")</f>
        <v>1</v>
      </c>
      <c r="AM86" s="108">
        <f>IFERROR(SMALL(AL$86:AL$95,AJ86),"")</f>
        <v>1</v>
      </c>
      <c r="AN86" s="110"/>
      <c r="AO86" s="108">
        <v>1</v>
      </c>
      <c r="AP86" s="108" t="s">
        <v>110</v>
      </c>
      <c r="AQ86" s="110">
        <f>IF((L$12=AP86),AO86,"")</f>
        <v>1</v>
      </c>
      <c r="AR86" s="108">
        <f>IFERROR(SMALL(AQ$86:AQ$95,AO86),"")</f>
        <v>1</v>
      </c>
      <c r="AS86" s="108"/>
      <c r="AT86" s="108"/>
      <c r="AU86" s="108"/>
      <c r="AV86" s="108"/>
      <c r="AX86" s="108">
        <v>1</v>
      </c>
      <c r="AY86" s="108" t="s">
        <v>110</v>
      </c>
      <c r="AZ86" s="109">
        <f>IF((M$12=AY86),AX86,"")</f>
        <v>1</v>
      </c>
      <c r="BA86" s="108">
        <f>IFERROR(SMALL(AZ$86:AZ$95,AX86),"")</f>
        <v>1</v>
      </c>
      <c r="BB86" s="110"/>
      <c r="BC86" s="108">
        <v>1</v>
      </c>
      <c r="BD86" s="108" t="s">
        <v>110</v>
      </c>
      <c r="BE86" s="110">
        <f>IF((M$12=BD86),BC86,"")</f>
        <v>1</v>
      </c>
      <c r="BF86" s="108">
        <f>IFERROR(SMALL(BE$86:BE$95,BC86),"")</f>
        <v>1</v>
      </c>
      <c r="BG86" s="108"/>
      <c r="BH86" s="108"/>
      <c r="BI86" s="108"/>
      <c r="BL86" s="108"/>
      <c r="BM86" s="108"/>
    </row>
    <row r="87" spans="6:65" s="111" customFormat="1" hidden="1">
      <c r="F87" s="108">
        <v>2</v>
      </c>
      <c r="G87" s="108" t="s">
        <v>21</v>
      </c>
      <c r="H87" s="109" t="str">
        <f>IF((J$12=G87),F87,"")</f>
        <v/>
      </c>
      <c r="I87" s="108" t="str">
        <f t="shared" ref="I87:I95" si="18">IFERROR(SMALL(H$86:H$95,F87),"")</f>
        <v/>
      </c>
      <c r="J87" s="110"/>
      <c r="K87" s="112">
        <v>2</v>
      </c>
      <c r="L87" s="113" t="s">
        <v>21</v>
      </c>
      <c r="M87" s="110" t="str">
        <f t="shared" ref="M87:M95" si="19">IF((J$12=L87),K87,"")</f>
        <v/>
      </c>
      <c r="N87" s="108" t="str">
        <f t="shared" ref="N87:N95" si="20">IFERROR(SMALL(M$86:M$95,K87),"")</f>
        <v/>
      </c>
      <c r="O87" s="108"/>
      <c r="P87" s="108"/>
      <c r="Q87" s="108"/>
      <c r="R87" s="108"/>
      <c r="S87" s="108"/>
      <c r="T87" s="108"/>
      <c r="V87" s="108">
        <v>2</v>
      </c>
      <c r="W87" s="108" t="s">
        <v>21</v>
      </c>
      <c r="X87" s="109" t="str">
        <f t="shared" ref="X87:X95" si="21">IF((K$12=W87),V87,"")</f>
        <v/>
      </c>
      <c r="Y87" s="108" t="str">
        <f t="shared" ref="Y87:Y95" si="22">IFERROR(SMALL(X$86:X$95,V87),"")</f>
        <v/>
      </c>
      <c r="Z87" s="110"/>
      <c r="AA87" s="112">
        <v>2</v>
      </c>
      <c r="AB87" s="113" t="s">
        <v>21</v>
      </c>
      <c r="AC87" s="110" t="str">
        <f t="shared" ref="AC87:AC93" si="23">IF((K$12=AB87),AA87,"")</f>
        <v/>
      </c>
      <c r="AD87" s="108" t="str">
        <f t="shared" ref="AD87:AD95" si="24">IFERROR(SMALL(AC$86:AC$95,AA87),"")</f>
        <v/>
      </c>
      <c r="AE87" s="108"/>
      <c r="AF87" s="108"/>
      <c r="AG87" s="108"/>
      <c r="AH87" s="108"/>
      <c r="AI87" s="108"/>
      <c r="AJ87" s="108">
        <v>2</v>
      </c>
      <c r="AK87" s="108" t="s">
        <v>21</v>
      </c>
      <c r="AL87" s="109" t="str">
        <f t="shared" ref="AL87:AL95" si="25">IF((L$12=AK87),AJ87,"")</f>
        <v/>
      </c>
      <c r="AM87" s="108" t="str">
        <f t="shared" ref="AM87:AM95" si="26">IFERROR(SMALL(AL$86:AL$95,AJ87),"")</f>
        <v/>
      </c>
      <c r="AN87" s="110"/>
      <c r="AO87" s="112">
        <v>2</v>
      </c>
      <c r="AP87" s="113" t="s">
        <v>21</v>
      </c>
      <c r="AQ87" s="110" t="str">
        <f t="shared" ref="AQ87:AQ95" si="27">IF((L$12=AP87),AO87,"")</f>
        <v/>
      </c>
      <c r="AR87" s="108" t="str">
        <f t="shared" ref="AR87:AR94" si="28">IFERROR(SMALL(AQ$86:AQ$95,AO87),"")</f>
        <v/>
      </c>
      <c r="AS87" s="108"/>
      <c r="AT87" s="108"/>
      <c r="AU87" s="108"/>
      <c r="AV87" s="108"/>
      <c r="AX87" s="108">
        <v>2</v>
      </c>
      <c r="AY87" s="108" t="s">
        <v>21</v>
      </c>
      <c r="AZ87" s="109" t="str">
        <f t="shared" ref="AZ87:AZ95" si="29">IF((M$12=AY87),AX87,"")</f>
        <v/>
      </c>
      <c r="BA87" s="108" t="str">
        <f t="shared" ref="BA87:BA95" si="30">IFERROR(SMALL(AZ$86:AZ$95,AX87),"")</f>
        <v/>
      </c>
      <c r="BB87" s="110"/>
      <c r="BC87" s="112">
        <v>2</v>
      </c>
      <c r="BD87" s="113" t="s">
        <v>21</v>
      </c>
      <c r="BE87" s="110" t="str">
        <f t="shared" ref="BE87:BE95" si="31">IF((M$12=BD87),BC87,"")</f>
        <v/>
      </c>
      <c r="BF87" s="108" t="str">
        <f t="shared" ref="BF87:BF94" si="32">IFERROR(SMALL(BE$86:BE$95,BC87),"")</f>
        <v/>
      </c>
      <c r="BG87" s="108"/>
      <c r="BH87" s="108"/>
      <c r="BI87" s="108"/>
      <c r="BL87" s="108"/>
      <c r="BM87" s="108"/>
    </row>
    <row r="88" spans="6:65" s="111" customFormat="1" hidden="1">
      <c r="F88" s="108">
        <v>3</v>
      </c>
      <c r="G88" s="108" t="s">
        <v>47</v>
      </c>
      <c r="H88" s="109" t="str">
        <f>IF((J$12=G88),F88,"")</f>
        <v/>
      </c>
      <c r="I88" s="108" t="str">
        <f t="shared" si="18"/>
        <v/>
      </c>
      <c r="J88" s="110"/>
      <c r="K88" s="112">
        <v>3</v>
      </c>
      <c r="L88" s="113" t="s">
        <v>47</v>
      </c>
      <c r="M88" s="110" t="str">
        <f t="shared" si="19"/>
        <v/>
      </c>
      <c r="N88" s="108" t="str">
        <f t="shared" si="20"/>
        <v/>
      </c>
      <c r="O88" s="108"/>
      <c r="P88" s="108"/>
      <c r="Q88" s="108"/>
      <c r="R88" s="108"/>
      <c r="S88" s="108"/>
      <c r="T88" s="108"/>
      <c r="V88" s="108">
        <v>3</v>
      </c>
      <c r="W88" s="108" t="s">
        <v>47</v>
      </c>
      <c r="X88" s="109" t="str">
        <f t="shared" si="21"/>
        <v/>
      </c>
      <c r="Y88" s="108" t="str">
        <f t="shared" si="22"/>
        <v/>
      </c>
      <c r="Z88" s="110"/>
      <c r="AA88" s="112">
        <v>3</v>
      </c>
      <c r="AB88" s="113" t="s">
        <v>47</v>
      </c>
      <c r="AC88" s="110" t="str">
        <f t="shared" si="23"/>
        <v/>
      </c>
      <c r="AD88" s="108" t="str">
        <f t="shared" si="24"/>
        <v/>
      </c>
      <c r="AE88" s="108"/>
      <c r="AF88" s="108"/>
      <c r="AG88" s="108"/>
      <c r="AH88" s="108"/>
      <c r="AI88" s="108"/>
      <c r="AJ88" s="108">
        <v>3</v>
      </c>
      <c r="AK88" s="108" t="s">
        <v>47</v>
      </c>
      <c r="AL88" s="109" t="str">
        <f t="shared" si="25"/>
        <v/>
      </c>
      <c r="AM88" s="108" t="str">
        <f t="shared" si="26"/>
        <v/>
      </c>
      <c r="AN88" s="110"/>
      <c r="AO88" s="112">
        <v>3</v>
      </c>
      <c r="AP88" s="113" t="s">
        <v>47</v>
      </c>
      <c r="AQ88" s="110" t="str">
        <f t="shared" si="27"/>
        <v/>
      </c>
      <c r="AR88" s="108" t="str">
        <f t="shared" si="28"/>
        <v/>
      </c>
      <c r="AS88" s="108"/>
      <c r="AT88" s="108"/>
      <c r="AU88" s="108"/>
      <c r="AV88" s="108"/>
      <c r="AX88" s="108">
        <v>3</v>
      </c>
      <c r="AY88" s="108" t="s">
        <v>47</v>
      </c>
      <c r="AZ88" s="109" t="str">
        <f t="shared" si="29"/>
        <v/>
      </c>
      <c r="BA88" s="108" t="str">
        <f t="shared" si="30"/>
        <v/>
      </c>
      <c r="BB88" s="110"/>
      <c r="BC88" s="112">
        <v>3</v>
      </c>
      <c r="BD88" s="113" t="s">
        <v>47</v>
      </c>
      <c r="BE88" s="110" t="str">
        <f t="shared" si="31"/>
        <v/>
      </c>
      <c r="BF88" s="108" t="str">
        <f t="shared" si="32"/>
        <v/>
      </c>
      <c r="BG88" s="108"/>
      <c r="BH88" s="108"/>
      <c r="BI88" s="108"/>
      <c r="BL88" s="108"/>
      <c r="BM88" s="108"/>
    </row>
    <row r="89" spans="6:65" s="111" customFormat="1" hidden="1">
      <c r="F89" s="108">
        <v>4</v>
      </c>
      <c r="G89" s="108" t="s">
        <v>48</v>
      </c>
      <c r="H89" s="109" t="str">
        <f>IF((J$12=G89),F89,"")</f>
        <v/>
      </c>
      <c r="I89" s="108" t="str">
        <f t="shared" si="18"/>
        <v/>
      </c>
      <c r="J89" s="110"/>
      <c r="K89" s="112">
        <v>4</v>
      </c>
      <c r="L89" s="113" t="s">
        <v>48</v>
      </c>
      <c r="M89" s="110" t="str">
        <f>IF((J$12=L89),K89,"")</f>
        <v/>
      </c>
      <c r="N89" s="108" t="str">
        <f t="shared" si="20"/>
        <v/>
      </c>
      <c r="O89" s="108"/>
      <c r="P89" s="108"/>
      <c r="Q89" s="108"/>
      <c r="R89" s="108"/>
      <c r="S89" s="108"/>
      <c r="T89" s="108"/>
      <c r="V89" s="108">
        <v>4</v>
      </c>
      <c r="W89" s="108" t="s">
        <v>48</v>
      </c>
      <c r="X89" s="109" t="str">
        <f t="shared" si="21"/>
        <v/>
      </c>
      <c r="Y89" s="108" t="str">
        <f t="shared" si="22"/>
        <v/>
      </c>
      <c r="Z89" s="110"/>
      <c r="AA89" s="112">
        <v>4</v>
      </c>
      <c r="AB89" s="113" t="s">
        <v>48</v>
      </c>
      <c r="AC89" s="110" t="str">
        <f t="shared" si="23"/>
        <v/>
      </c>
      <c r="AD89" s="108" t="str">
        <f t="shared" si="24"/>
        <v/>
      </c>
      <c r="AE89" s="108"/>
      <c r="AF89" s="108"/>
      <c r="AG89" s="108"/>
      <c r="AH89" s="108"/>
      <c r="AI89" s="108"/>
      <c r="AJ89" s="108">
        <v>4</v>
      </c>
      <c r="AK89" s="108" t="s">
        <v>48</v>
      </c>
      <c r="AL89" s="109" t="str">
        <f>IF((L$12=AK89),AJ89,"")</f>
        <v/>
      </c>
      <c r="AM89" s="108" t="str">
        <f>IFERROR(SMALL(AL$86:AL$95,AJ89),"")</f>
        <v/>
      </c>
      <c r="AN89" s="110"/>
      <c r="AO89" s="112">
        <v>4</v>
      </c>
      <c r="AP89" s="113" t="s">
        <v>48</v>
      </c>
      <c r="AQ89" s="110" t="str">
        <f>IF((L$12=AP89),AO89,"")</f>
        <v/>
      </c>
      <c r="AR89" s="108" t="str">
        <f t="shared" si="28"/>
        <v/>
      </c>
      <c r="AS89" s="108"/>
      <c r="AT89" s="108"/>
      <c r="AU89" s="108"/>
      <c r="AV89" s="108"/>
      <c r="AX89" s="108">
        <v>4</v>
      </c>
      <c r="AY89" s="108" t="s">
        <v>48</v>
      </c>
      <c r="AZ89" s="109" t="str">
        <f t="shared" si="29"/>
        <v/>
      </c>
      <c r="BA89" s="108" t="str">
        <f t="shared" si="30"/>
        <v/>
      </c>
      <c r="BB89" s="110"/>
      <c r="BC89" s="112">
        <v>4</v>
      </c>
      <c r="BD89" s="113" t="s">
        <v>48</v>
      </c>
      <c r="BE89" s="110" t="str">
        <f t="shared" si="31"/>
        <v/>
      </c>
      <c r="BF89" s="108" t="str">
        <f t="shared" si="32"/>
        <v/>
      </c>
      <c r="BG89" s="108"/>
      <c r="BH89" s="108"/>
      <c r="BI89" s="108"/>
      <c r="BL89" s="108"/>
      <c r="BM89" s="108"/>
    </row>
    <row r="90" spans="6:65" s="111" customFormat="1" hidden="1">
      <c r="F90" s="108">
        <v>5</v>
      </c>
      <c r="G90" s="108" t="s">
        <v>49</v>
      </c>
      <c r="H90" s="109" t="str">
        <f t="shared" si="17"/>
        <v/>
      </c>
      <c r="I90" s="108" t="str">
        <f t="shared" si="18"/>
        <v/>
      </c>
      <c r="J90" s="110"/>
      <c r="K90" s="112">
        <v>5</v>
      </c>
      <c r="L90" s="113" t="s">
        <v>49</v>
      </c>
      <c r="M90" s="110" t="str">
        <f t="shared" si="19"/>
        <v/>
      </c>
      <c r="N90" s="108" t="str">
        <f t="shared" si="20"/>
        <v/>
      </c>
      <c r="O90" s="108"/>
      <c r="P90" s="108"/>
      <c r="Q90" s="108"/>
      <c r="R90" s="108"/>
      <c r="S90" s="108"/>
      <c r="T90" s="108"/>
      <c r="V90" s="108">
        <v>5</v>
      </c>
      <c r="W90" s="108" t="s">
        <v>49</v>
      </c>
      <c r="X90" s="109" t="str">
        <f t="shared" si="21"/>
        <v/>
      </c>
      <c r="Y90" s="108" t="str">
        <f t="shared" si="22"/>
        <v/>
      </c>
      <c r="Z90" s="110"/>
      <c r="AA90" s="112">
        <v>5</v>
      </c>
      <c r="AB90" s="113" t="s">
        <v>49</v>
      </c>
      <c r="AC90" s="110" t="str">
        <f t="shared" si="23"/>
        <v/>
      </c>
      <c r="AD90" s="108" t="str">
        <f t="shared" si="24"/>
        <v/>
      </c>
      <c r="AE90" s="108"/>
      <c r="AF90" s="108"/>
      <c r="AG90" s="108"/>
      <c r="AH90" s="108"/>
      <c r="AI90" s="108"/>
      <c r="AJ90" s="108">
        <v>5</v>
      </c>
      <c r="AK90" s="108" t="s">
        <v>49</v>
      </c>
      <c r="AL90" s="109" t="str">
        <f t="shared" si="25"/>
        <v/>
      </c>
      <c r="AM90" s="108" t="str">
        <f t="shared" si="26"/>
        <v/>
      </c>
      <c r="AN90" s="110"/>
      <c r="AO90" s="112">
        <v>5</v>
      </c>
      <c r="AP90" s="113" t="s">
        <v>49</v>
      </c>
      <c r="AQ90" s="110" t="str">
        <f>IF((L$12=AP90),AO90,"")</f>
        <v/>
      </c>
      <c r="AR90" s="108" t="str">
        <f t="shared" si="28"/>
        <v/>
      </c>
      <c r="AS90" s="108"/>
      <c r="AT90" s="108"/>
      <c r="AU90" s="108"/>
      <c r="AV90" s="108"/>
      <c r="AX90" s="108">
        <v>5</v>
      </c>
      <c r="AY90" s="108" t="s">
        <v>49</v>
      </c>
      <c r="AZ90" s="109" t="str">
        <f t="shared" si="29"/>
        <v/>
      </c>
      <c r="BA90" s="108" t="str">
        <f t="shared" si="30"/>
        <v/>
      </c>
      <c r="BB90" s="110"/>
      <c r="BC90" s="112">
        <v>5</v>
      </c>
      <c r="BD90" s="113" t="s">
        <v>49</v>
      </c>
      <c r="BE90" s="110" t="str">
        <f>IF((M$12=BD90),BC90,"")</f>
        <v/>
      </c>
      <c r="BF90" s="108" t="str">
        <f t="shared" si="32"/>
        <v/>
      </c>
      <c r="BG90" s="108"/>
      <c r="BH90" s="108"/>
      <c r="BI90" s="108"/>
      <c r="BL90" s="108"/>
      <c r="BM90" s="108"/>
    </row>
    <row r="91" spans="6:65" s="111" customFormat="1" hidden="1">
      <c r="F91" s="108">
        <v>6</v>
      </c>
      <c r="G91" s="108" t="s">
        <v>50</v>
      </c>
      <c r="H91" s="109" t="str">
        <f t="shared" si="17"/>
        <v/>
      </c>
      <c r="I91" s="108" t="str">
        <f t="shared" si="18"/>
        <v/>
      </c>
      <c r="J91" s="110"/>
      <c r="K91" s="112">
        <v>6</v>
      </c>
      <c r="L91" s="113" t="s">
        <v>50</v>
      </c>
      <c r="M91" s="110" t="str">
        <f t="shared" si="19"/>
        <v/>
      </c>
      <c r="N91" s="108" t="str">
        <f t="shared" si="20"/>
        <v/>
      </c>
      <c r="O91" s="108"/>
      <c r="P91" s="108"/>
      <c r="Q91" s="108"/>
      <c r="R91" s="108"/>
      <c r="S91" s="108"/>
      <c r="T91" s="108"/>
      <c r="V91" s="108">
        <v>6</v>
      </c>
      <c r="W91" s="108" t="s">
        <v>50</v>
      </c>
      <c r="X91" s="109" t="str">
        <f t="shared" si="21"/>
        <v/>
      </c>
      <c r="Y91" s="108" t="str">
        <f t="shared" si="22"/>
        <v/>
      </c>
      <c r="Z91" s="110"/>
      <c r="AA91" s="112">
        <v>6</v>
      </c>
      <c r="AB91" s="113" t="s">
        <v>50</v>
      </c>
      <c r="AC91" s="110" t="str">
        <f t="shared" si="23"/>
        <v/>
      </c>
      <c r="AD91" s="108" t="str">
        <f t="shared" si="24"/>
        <v/>
      </c>
      <c r="AE91" s="108"/>
      <c r="AF91" s="108"/>
      <c r="AG91" s="108"/>
      <c r="AH91" s="108"/>
      <c r="AI91" s="108"/>
      <c r="AJ91" s="108">
        <v>6</v>
      </c>
      <c r="AK91" s="108" t="s">
        <v>50</v>
      </c>
      <c r="AL91" s="109" t="str">
        <f t="shared" si="25"/>
        <v/>
      </c>
      <c r="AM91" s="108" t="str">
        <f t="shared" si="26"/>
        <v/>
      </c>
      <c r="AN91" s="110"/>
      <c r="AO91" s="112">
        <v>6</v>
      </c>
      <c r="AP91" s="113" t="s">
        <v>50</v>
      </c>
      <c r="AQ91" s="110" t="str">
        <f t="shared" si="27"/>
        <v/>
      </c>
      <c r="AR91" s="108" t="str">
        <f t="shared" si="28"/>
        <v/>
      </c>
      <c r="AS91" s="108"/>
      <c r="AT91" s="108"/>
      <c r="AU91" s="108"/>
      <c r="AV91" s="108"/>
      <c r="AX91" s="108">
        <v>6</v>
      </c>
      <c r="AY91" s="108" t="s">
        <v>50</v>
      </c>
      <c r="AZ91" s="109" t="str">
        <f t="shared" si="29"/>
        <v/>
      </c>
      <c r="BA91" s="108" t="str">
        <f t="shared" si="30"/>
        <v/>
      </c>
      <c r="BB91" s="110"/>
      <c r="BC91" s="112">
        <v>6</v>
      </c>
      <c r="BD91" s="113" t="s">
        <v>50</v>
      </c>
      <c r="BE91" s="110" t="str">
        <f t="shared" si="31"/>
        <v/>
      </c>
      <c r="BF91" s="108" t="str">
        <f t="shared" si="32"/>
        <v/>
      </c>
      <c r="BG91" s="108"/>
      <c r="BH91" s="108"/>
      <c r="BI91" s="108"/>
      <c r="BL91" s="108"/>
      <c r="BM91" s="108"/>
    </row>
    <row r="92" spans="6:65" s="111" customFormat="1" hidden="1">
      <c r="F92" s="108">
        <v>7</v>
      </c>
      <c r="G92" s="108" t="s">
        <v>51</v>
      </c>
      <c r="H92" s="109" t="str">
        <f t="shared" si="17"/>
        <v/>
      </c>
      <c r="I92" s="108" t="str">
        <f t="shared" si="18"/>
        <v/>
      </c>
      <c r="J92" s="110"/>
      <c r="K92" s="112">
        <v>7</v>
      </c>
      <c r="L92" s="113" t="s">
        <v>52</v>
      </c>
      <c r="M92" s="110" t="str">
        <f t="shared" si="19"/>
        <v/>
      </c>
      <c r="N92" s="108" t="str">
        <f t="shared" si="20"/>
        <v/>
      </c>
      <c r="O92" s="108"/>
      <c r="P92" s="108"/>
      <c r="Q92" s="108"/>
      <c r="R92" s="108"/>
      <c r="S92" s="108"/>
      <c r="T92" s="108"/>
      <c r="V92" s="108">
        <v>7</v>
      </c>
      <c r="W92" s="108" t="s">
        <v>51</v>
      </c>
      <c r="X92" s="109" t="str">
        <f t="shared" si="21"/>
        <v/>
      </c>
      <c r="Y92" s="108" t="str">
        <f t="shared" si="22"/>
        <v/>
      </c>
      <c r="Z92" s="110"/>
      <c r="AA92" s="112">
        <v>7</v>
      </c>
      <c r="AB92" s="113" t="s">
        <v>52</v>
      </c>
      <c r="AC92" s="110" t="str">
        <f t="shared" si="23"/>
        <v/>
      </c>
      <c r="AD92" s="108" t="str">
        <f t="shared" si="24"/>
        <v/>
      </c>
      <c r="AE92" s="108"/>
      <c r="AF92" s="108"/>
      <c r="AG92" s="108"/>
      <c r="AH92" s="108"/>
      <c r="AI92" s="108"/>
      <c r="AJ92" s="108">
        <v>7</v>
      </c>
      <c r="AK92" s="108" t="s">
        <v>51</v>
      </c>
      <c r="AL92" s="109" t="str">
        <f t="shared" si="25"/>
        <v/>
      </c>
      <c r="AM92" s="108" t="str">
        <f t="shared" si="26"/>
        <v/>
      </c>
      <c r="AN92" s="110"/>
      <c r="AO92" s="112">
        <v>7</v>
      </c>
      <c r="AP92" s="113" t="s">
        <v>52</v>
      </c>
      <c r="AQ92" s="110" t="str">
        <f t="shared" si="27"/>
        <v/>
      </c>
      <c r="AR92" s="108" t="str">
        <f t="shared" si="28"/>
        <v/>
      </c>
      <c r="AS92" s="108"/>
      <c r="AT92" s="108"/>
      <c r="AU92" s="108"/>
      <c r="AV92" s="108"/>
      <c r="AX92" s="108">
        <v>7</v>
      </c>
      <c r="AY92" s="108" t="s">
        <v>51</v>
      </c>
      <c r="AZ92" s="109" t="str">
        <f t="shared" si="29"/>
        <v/>
      </c>
      <c r="BA92" s="108" t="str">
        <f t="shared" si="30"/>
        <v/>
      </c>
      <c r="BB92" s="110"/>
      <c r="BC92" s="112">
        <v>7</v>
      </c>
      <c r="BD92" s="113" t="s">
        <v>52</v>
      </c>
      <c r="BE92" s="110" t="str">
        <f t="shared" si="31"/>
        <v/>
      </c>
      <c r="BF92" s="108" t="str">
        <f t="shared" si="32"/>
        <v/>
      </c>
      <c r="BG92" s="108"/>
      <c r="BH92" s="108"/>
      <c r="BI92" s="108"/>
      <c r="BL92" s="108"/>
      <c r="BM92" s="108"/>
    </row>
    <row r="93" spans="6:65" s="111" customFormat="1" hidden="1">
      <c r="F93" s="108">
        <v>8</v>
      </c>
      <c r="G93" s="108" t="s">
        <v>53</v>
      </c>
      <c r="H93" s="109" t="str">
        <f t="shared" si="17"/>
        <v/>
      </c>
      <c r="I93" s="108" t="str">
        <f t="shared" si="18"/>
        <v/>
      </c>
      <c r="J93" s="110"/>
      <c r="K93" s="112">
        <v>8</v>
      </c>
      <c r="L93" s="114" t="s">
        <v>13</v>
      </c>
      <c r="M93" s="110" t="str">
        <f t="shared" si="19"/>
        <v/>
      </c>
      <c r="N93" s="108" t="str">
        <f t="shared" si="20"/>
        <v/>
      </c>
      <c r="O93" s="108"/>
      <c r="P93" s="108"/>
      <c r="Q93" s="108"/>
      <c r="R93" s="108"/>
      <c r="S93" s="108"/>
      <c r="T93" s="108"/>
      <c r="V93" s="108">
        <v>8</v>
      </c>
      <c r="W93" s="108" t="s">
        <v>53</v>
      </c>
      <c r="X93" s="109" t="str">
        <f t="shared" si="21"/>
        <v/>
      </c>
      <c r="Y93" s="108" t="str">
        <f t="shared" si="22"/>
        <v/>
      </c>
      <c r="Z93" s="110"/>
      <c r="AA93" s="112">
        <v>8</v>
      </c>
      <c r="AB93" s="114" t="s">
        <v>13</v>
      </c>
      <c r="AC93" s="110" t="str">
        <f t="shared" si="23"/>
        <v/>
      </c>
      <c r="AD93" s="108" t="str">
        <f t="shared" si="24"/>
        <v/>
      </c>
      <c r="AE93" s="108"/>
      <c r="AF93" s="108"/>
      <c r="AG93" s="108"/>
      <c r="AH93" s="108"/>
      <c r="AI93" s="108"/>
      <c r="AJ93" s="108">
        <v>8</v>
      </c>
      <c r="AK93" s="108" t="s">
        <v>53</v>
      </c>
      <c r="AL93" s="109" t="str">
        <f t="shared" si="25"/>
        <v/>
      </c>
      <c r="AM93" s="108" t="str">
        <f t="shared" si="26"/>
        <v/>
      </c>
      <c r="AN93" s="110"/>
      <c r="AO93" s="112">
        <v>8</v>
      </c>
      <c r="AP93" s="114" t="s">
        <v>13</v>
      </c>
      <c r="AQ93" s="110" t="str">
        <f t="shared" si="27"/>
        <v/>
      </c>
      <c r="AR93" s="108" t="str">
        <f t="shared" si="28"/>
        <v/>
      </c>
      <c r="AS93" s="108"/>
      <c r="AT93" s="108"/>
      <c r="AU93" s="108"/>
      <c r="AV93" s="108"/>
      <c r="AX93" s="108">
        <v>8</v>
      </c>
      <c r="AY93" s="108" t="s">
        <v>53</v>
      </c>
      <c r="AZ93" s="109" t="str">
        <f t="shared" si="29"/>
        <v/>
      </c>
      <c r="BA93" s="108" t="str">
        <f t="shared" si="30"/>
        <v/>
      </c>
      <c r="BB93" s="110"/>
      <c r="BC93" s="112">
        <v>8</v>
      </c>
      <c r="BD93" s="114" t="s">
        <v>13</v>
      </c>
      <c r="BE93" s="110" t="str">
        <f t="shared" si="31"/>
        <v/>
      </c>
      <c r="BF93" s="108" t="str">
        <f t="shared" si="32"/>
        <v/>
      </c>
      <c r="BG93" s="108"/>
      <c r="BH93" s="108"/>
      <c r="BI93" s="108"/>
      <c r="BL93" s="108"/>
      <c r="BM93" s="108"/>
    </row>
    <row r="94" spans="6:65" s="111" customFormat="1" hidden="1">
      <c r="F94" s="108">
        <v>9</v>
      </c>
      <c r="G94" s="108" t="s">
        <v>54</v>
      </c>
      <c r="H94" s="109" t="str">
        <f t="shared" si="17"/>
        <v/>
      </c>
      <c r="I94" s="108" t="str">
        <f t="shared" si="18"/>
        <v/>
      </c>
      <c r="J94" s="110"/>
      <c r="K94" s="110"/>
      <c r="L94" s="110"/>
      <c r="M94" s="110" t="str">
        <f t="shared" si="19"/>
        <v/>
      </c>
      <c r="N94" s="108" t="str">
        <f t="shared" si="20"/>
        <v/>
      </c>
      <c r="O94" s="108"/>
      <c r="P94" s="108"/>
      <c r="Q94" s="108"/>
      <c r="R94" s="108"/>
      <c r="S94" s="108"/>
      <c r="T94" s="108"/>
      <c r="V94" s="108">
        <v>9</v>
      </c>
      <c r="W94" s="108" t="s">
        <v>54</v>
      </c>
      <c r="X94" s="109" t="str">
        <f t="shared" si="21"/>
        <v/>
      </c>
      <c r="Y94" s="108" t="str">
        <f t="shared" si="22"/>
        <v/>
      </c>
      <c r="Z94" s="110"/>
      <c r="AA94" s="110"/>
      <c r="AB94" s="110"/>
      <c r="AC94" s="110" t="str">
        <f t="shared" ref="AC94:AC95" si="33">IF((K$12=AB94),AA94,"")</f>
        <v/>
      </c>
      <c r="AD94" s="108" t="str">
        <f t="shared" si="24"/>
        <v/>
      </c>
      <c r="AE94" s="108"/>
      <c r="AF94" s="108"/>
      <c r="AG94" s="108"/>
      <c r="AH94" s="108"/>
      <c r="AI94" s="108"/>
      <c r="AJ94" s="108">
        <v>9</v>
      </c>
      <c r="AK94" s="108" t="s">
        <v>54</v>
      </c>
      <c r="AL94" s="109" t="str">
        <f t="shared" si="25"/>
        <v/>
      </c>
      <c r="AM94" s="108" t="str">
        <f t="shared" si="26"/>
        <v/>
      </c>
      <c r="AN94" s="110"/>
      <c r="AO94" s="110"/>
      <c r="AP94" s="110"/>
      <c r="AQ94" s="110" t="str">
        <f t="shared" si="27"/>
        <v/>
      </c>
      <c r="AR94" s="108" t="str">
        <f t="shared" si="28"/>
        <v/>
      </c>
      <c r="AS94" s="108"/>
      <c r="AT94" s="108"/>
      <c r="AU94" s="108"/>
      <c r="AV94" s="108"/>
      <c r="AX94" s="108">
        <v>9</v>
      </c>
      <c r="AY94" s="108" t="s">
        <v>54</v>
      </c>
      <c r="AZ94" s="109" t="str">
        <f t="shared" si="29"/>
        <v/>
      </c>
      <c r="BA94" s="108" t="str">
        <f t="shared" si="30"/>
        <v/>
      </c>
      <c r="BB94" s="110"/>
      <c r="BC94" s="110"/>
      <c r="BD94" s="110"/>
      <c r="BE94" s="110" t="str">
        <f t="shared" si="31"/>
        <v/>
      </c>
      <c r="BF94" s="108" t="str">
        <f t="shared" si="32"/>
        <v/>
      </c>
      <c r="BG94" s="108"/>
      <c r="BH94" s="108"/>
      <c r="BI94" s="108"/>
      <c r="BL94" s="108"/>
      <c r="BM94" s="108"/>
    </row>
    <row r="95" spans="6:65" s="120" customFormat="1" hidden="1">
      <c r="F95" s="115">
        <v>10</v>
      </c>
      <c r="G95" s="116" t="s">
        <v>13</v>
      </c>
      <c r="H95" s="117" t="str">
        <f t="shared" si="17"/>
        <v/>
      </c>
      <c r="I95" s="118" t="str">
        <f t="shared" si="18"/>
        <v/>
      </c>
      <c r="J95" s="115"/>
      <c r="K95" s="115"/>
      <c r="L95" s="115"/>
      <c r="M95" s="119" t="str">
        <f t="shared" si="19"/>
        <v/>
      </c>
      <c r="N95" s="118" t="str">
        <f t="shared" si="20"/>
        <v/>
      </c>
      <c r="O95" s="115"/>
      <c r="P95" s="115"/>
      <c r="Q95" s="115"/>
      <c r="R95" s="115"/>
      <c r="S95" s="115"/>
      <c r="T95" s="115"/>
      <c r="V95" s="115">
        <v>10</v>
      </c>
      <c r="W95" s="116" t="s">
        <v>13</v>
      </c>
      <c r="X95" s="109" t="str">
        <f t="shared" si="21"/>
        <v/>
      </c>
      <c r="Y95" s="118" t="str">
        <f t="shared" si="22"/>
        <v/>
      </c>
      <c r="Z95" s="115"/>
      <c r="AA95" s="115"/>
      <c r="AB95" s="115"/>
      <c r="AC95" s="110" t="str">
        <f t="shared" si="33"/>
        <v/>
      </c>
      <c r="AD95" s="118" t="str">
        <f t="shared" si="24"/>
        <v/>
      </c>
      <c r="AE95" s="118"/>
      <c r="AF95" s="118"/>
      <c r="AG95" s="118"/>
      <c r="AH95" s="118"/>
      <c r="AI95" s="118"/>
      <c r="AJ95" s="115">
        <v>10</v>
      </c>
      <c r="AK95" s="116" t="s">
        <v>13</v>
      </c>
      <c r="AL95" s="109" t="str">
        <f t="shared" si="25"/>
        <v/>
      </c>
      <c r="AM95" s="118" t="str">
        <f t="shared" si="26"/>
        <v/>
      </c>
      <c r="AN95" s="115"/>
      <c r="AO95" s="115"/>
      <c r="AP95" s="115"/>
      <c r="AQ95" s="110" t="str">
        <f t="shared" si="27"/>
        <v/>
      </c>
      <c r="AR95" s="118" t="str">
        <f>IFERROR(SMALL(AQ$86:AQ$95,AO95),"")</f>
        <v/>
      </c>
      <c r="AS95" s="118"/>
      <c r="AT95" s="118"/>
      <c r="AU95" s="118"/>
      <c r="AV95" s="118"/>
      <c r="AX95" s="115">
        <v>10</v>
      </c>
      <c r="AY95" s="116" t="s">
        <v>13</v>
      </c>
      <c r="AZ95" s="109" t="str">
        <f t="shared" si="29"/>
        <v/>
      </c>
      <c r="BA95" s="118" t="str">
        <f t="shared" si="30"/>
        <v/>
      </c>
      <c r="BB95" s="115"/>
      <c r="BC95" s="115"/>
      <c r="BD95" s="115"/>
      <c r="BE95" s="110" t="str">
        <f t="shared" si="31"/>
        <v/>
      </c>
      <c r="BF95" s="118" t="str">
        <f>IFERROR(SMALL(BE$86:BE$95,BC95),"")</f>
        <v/>
      </c>
      <c r="BG95" s="118"/>
      <c r="BH95" s="118"/>
      <c r="BI95" s="118"/>
      <c r="BL95" s="118"/>
      <c r="BM95" s="118"/>
    </row>
    <row r="96" spans="6:65" hidden="1">
      <c r="F96" s="2"/>
      <c r="G96" s="17"/>
      <c r="H96" s="148" t="s">
        <v>144</v>
      </c>
      <c r="I96" s="2"/>
      <c r="J96" s="2"/>
      <c r="K96" s="2"/>
      <c r="L96" s="2"/>
      <c r="M96" s="2"/>
      <c r="N96" s="2"/>
      <c r="O96" s="2"/>
      <c r="P96" s="2"/>
      <c r="Q96" s="2"/>
      <c r="R96" s="2"/>
      <c r="S96" s="2"/>
      <c r="T96" s="2"/>
      <c r="V96" s="2"/>
      <c r="W96" s="17"/>
      <c r="X96" s="16"/>
      <c r="Y96" s="2"/>
      <c r="Z96" s="2"/>
      <c r="AA96" s="2"/>
      <c r="AB96" s="2"/>
      <c r="AC96" s="2"/>
      <c r="AD96" s="2"/>
      <c r="AE96" s="2"/>
      <c r="AF96" s="2"/>
      <c r="AG96" s="2"/>
      <c r="AH96" s="2"/>
      <c r="AI96" s="2"/>
      <c r="AJ96" s="2"/>
      <c r="AK96" s="2"/>
      <c r="AL96" s="2"/>
      <c r="AM96" s="2"/>
      <c r="AN96" s="2"/>
      <c r="AO96" s="2"/>
      <c r="AP96" s="2"/>
      <c r="AQ96" s="2"/>
      <c r="AR96" s="2"/>
      <c r="AS96" s="2"/>
      <c r="AT96" s="2"/>
      <c r="AU96" s="2"/>
      <c r="AV96" s="2"/>
      <c r="AX96" s="2"/>
      <c r="AY96" s="2"/>
      <c r="AZ96" s="2"/>
      <c r="BA96" s="2"/>
      <c r="BB96" s="2"/>
      <c r="BC96" s="2"/>
      <c r="BD96" s="2"/>
      <c r="BE96" s="2"/>
      <c r="BF96" s="2"/>
      <c r="BG96" s="2"/>
      <c r="BH96" s="2"/>
      <c r="BI96" s="2"/>
      <c r="BL96" s="2"/>
      <c r="BM96" s="2"/>
    </row>
    <row r="97" spans="6:65" hidden="1">
      <c r="F97" s="2"/>
      <c r="G97" s="17"/>
      <c r="H97" s="16" t="s">
        <v>145</v>
      </c>
      <c r="I97" s="2"/>
      <c r="J97" s="2"/>
      <c r="K97" s="2"/>
      <c r="L97" s="2"/>
      <c r="M97" s="2"/>
      <c r="N97" s="2"/>
      <c r="O97" s="2"/>
      <c r="P97" s="2"/>
      <c r="Q97" s="2"/>
      <c r="R97" s="2"/>
      <c r="S97" s="2"/>
      <c r="T97" s="2"/>
      <c r="V97" s="2"/>
      <c r="W97" s="17"/>
      <c r="X97" s="16"/>
      <c r="Y97" s="2"/>
      <c r="Z97" s="2"/>
      <c r="AA97" s="2"/>
      <c r="AB97" s="2"/>
      <c r="AC97" s="2"/>
      <c r="AD97" s="2"/>
      <c r="AE97" s="2"/>
      <c r="AF97" s="2"/>
      <c r="AG97" s="2"/>
      <c r="AH97" s="2"/>
      <c r="AI97" s="2"/>
      <c r="AJ97" s="2"/>
      <c r="AK97" s="2"/>
      <c r="AL97" s="2"/>
      <c r="AM97" s="2"/>
      <c r="AN97" s="2"/>
      <c r="AO97" s="2"/>
      <c r="AP97" s="2"/>
      <c r="AQ97" s="2"/>
      <c r="AR97" s="2"/>
      <c r="AS97" s="2"/>
      <c r="AT97" s="2"/>
      <c r="AU97" s="2"/>
      <c r="AV97" s="2"/>
      <c r="AX97" s="2"/>
      <c r="AY97" s="2"/>
      <c r="AZ97" s="2"/>
      <c r="BA97" s="2"/>
      <c r="BB97" s="2"/>
      <c r="BC97" s="2"/>
      <c r="BD97" s="2"/>
      <c r="BE97" s="2"/>
      <c r="BF97" s="2"/>
      <c r="BG97" s="2"/>
      <c r="BH97" s="2"/>
      <c r="BI97" s="2"/>
      <c r="BL97" s="2"/>
      <c r="BM97" s="2"/>
    </row>
    <row r="98" spans="6:65" hidden="1">
      <c r="F98" s="2"/>
      <c r="G98" s="17"/>
      <c r="H98" s="16"/>
      <c r="I98" s="2"/>
      <c r="J98" s="2"/>
      <c r="K98" s="2"/>
      <c r="L98" s="2"/>
      <c r="M98" s="2"/>
      <c r="N98" s="2"/>
      <c r="O98" s="2"/>
      <c r="P98" s="2"/>
      <c r="Q98" s="2"/>
      <c r="R98" s="2"/>
      <c r="S98" s="2"/>
      <c r="T98" s="2"/>
      <c r="V98" s="2"/>
      <c r="W98" s="17" t="s">
        <v>146</v>
      </c>
      <c r="X98" s="16"/>
      <c r="Y98" s="2"/>
      <c r="Z98" s="2"/>
      <c r="AA98" s="2"/>
      <c r="AB98" s="2"/>
      <c r="AC98" s="2"/>
      <c r="AD98" s="2"/>
      <c r="AE98" s="2"/>
      <c r="AF98" s="2"/>
      <c r="AG98" s="2"/>
      <c r="AH98" s="2"/>
      <c r="AI98" s="2"/>
      <c r="AJ98" s="2"/>
      <c r="AK98" s="2"/>
      <c r="AL98" s="2"/>
      <c r="AM98" s="2"/>
      <c r="AN98" s="2"/>
      <c r="AO98" s="2"/>
      <c r="AP98" s="2"/>
      <c r="AQ98" s="2"/>
      <c r="AR98" s="2"/>
      <c r="AS98" s="2"/>
      <c r="AT98" s="2"/>
      <c r="AU98" s="2"/>
      <c r="AV98" s="2"/>
      <c r="AX98" s="2"/>
      <c r="AY98" s="2" t="s">
        <v>147</v>
      </c>
      <c r="AZ98" s="2"/>
      <c r="BA98" s="2"/>
      <c r="BB98" s="2"/>
      <c r="BC98" s="2"/>
      <c r="BD98" s="2"/>
      <c r="BE98" s="2"/>
      <c r="BF98" s="2"/>
      <c r="BG98" s="2"/>
      <c r="BH98" s="2"/>
      <c r="BI98" s="2"/>
      <c r="BL98" s="2"/>
      <c r="BM98" s="2"/>
    </row>
    <row r="99" spans="6:65" hidden="1">
      <c r="F99" s="2"/>
      <c r="G99" s="17"/>
      <c r="H99" s="16"/>
      <c r="I99" s="2"/>
      <c r="J99" s="2"/>
      <c r="K99" s="2"/>
      <c r="L99" s="2"/>
      <c r="M99" s="2"/>
      <c r="N99" s="2"/>
      <c r="O99" s="2"/>
      <c r="P99" s="2"/>
      <c r="Q99" s="2"/>
      <c r="R99" s="2"/>
      <c r="S99" s="2"/>
      <c r="T99" s="2"/>
      <c r="V99" s="2"/>
      <c r="W99" s="17"/>
      <c r="X99" s="16"/>
      <c r="Y99" s="2"/>
      <c r="Z99" s="2"/>
      <c r="AA99" s="2"/>
      <c r="AB99" s="2"/>
      <c r="AC99" s="2"/>
      <c r="AD99" s="2"/>
      <c r="AE99" s="2"/>
      <c r="AF99" s="2"/>
      <c r="AG99" s="2"/>
      <c r="AH99" s="2"/>
      <c r="AI99" s="2"/>
      <c r="AJ99" s="2"/>
      <c r="AK99" s="2"/>
      <c r="AL99" s="2"/>
      <c r="AM99" s="2"/>
      <c r="AN99" s="2"/>
      <c r="AO99" s="2"/>
      <c r="AP99" s="2"/>
      <c r="AQ99" s="2"/>
      <c r="AR99" s="2"/>
      <c r="AS99" s="2"/>
      <c r="AT99" s="2"/>
      <c r="AU99" s="2"/>
      <c r="AV99" s="2"/>
      <c r="AX99" s="2"/>
      <c r="AY99" s="2"/>
      <c r="AZ99" s="2"/>
      <c r="BA99" s="2"/>
      <c r="BB99" s="2"/>
      <c r="BC99" s="2"/>
      <c r="BD99" s="2"/>
      <c r="BE99" s="2"/>
      <c r="BF99" s="2"/>
      <c r="BG99" s="2"/>
      <c r="BH99" s="2"/>
      <c r="BI99" s="2"/>
      <c r="BL99" s="2"/>
      <c r="BM99" s="2"/>
    </row>
    <row r="100" spans="6:65" hidden="1">
      <c r="F100" s="2"/>
      <c r="G100" s="17"/>
      <c r="H100" s="148"/>
      <c r="I100" s="2"/>
      <c r="J100" s="2"/>
      <c r="K100" s="2"/>
      <c r="L100" s="2"/>
      <c r="M100" s="2"/>
      <c r="N100" s="2"/>
      <c r="O100" s="2"/>
      <c r="P100" s="2"/>
      <c r="Q100" s="2"/>
      <c r="R100" s="2"/>
      <c r="S100" s="2"/>
      <c r="T100" s="2"/>
      <c r="V100" s="2"/>
      <c r="W100" s="17" t="s">
        <v>148</v>
      </c>
      <c r="X100" s="16"/>
      <c r="Y100" s="2"/>
      <c r="Z100" s="2"/>
      <c r="AA100" s="2"/>
      <c r="AB100" s="2"/>
      <c r="AC100" s="2"/>
      <c r="AD100" s="2"/>
      <c r="AE100" s="2"/>
      <c r="AF100" s="2"/>
      <c r="AG100" s="2"/>
      <c r="AH100" s="2"/>
      <c r="AI100" s="2"/>
      <c r="AJ100" s="2"/>
      <c r="AK100" s="2" t="s">
        <v>149</v>
      </c>
      <c r="AL100" s="2"/>
      <c r="AM100" s="2"/>
      <c r="AN100" s="2"/>
      <c r="AO100" s="2"/>
      <c r="AP100" s="2"/>
      <c r="AQ100" s="2"/>
      <c r="AR100" s="2"/>
      <c r="AS100" s="2"/>
      <c r="AT100" s="2"/>
      <c r="AU100" s="2"/>
      <c r="AV100" s="2"/>
      <c r="AX100" s="2"/>
      <c r="AY100" s="2"/>
      <c r="AZ100" s="2"/>
      <c r="BA100" s="2"/>
      <c r="BB100" s="2"/>
      <c r="BC100" s="2"/>
      <c r="BD100" s="2"/>
      <c r="BE100" s="2"/>
      <c r="BF100" s="2"/>
      <c r="BG100" s="2"/>
      <c r="BH100" s="2"/>
      <c r="BI100" s="2"/>
      <c r="BL100" s="2"/>
      <c r="BM100" s="2"/>
    </row>
    <row r="101" spans="6:65" hidden="1">
      <c r="F101" s="2"/>
      <c r="G101" s="17"/>
      <c r="H101" s="16"/>
      <c r="I101" s="2"/>
      <c r="J101" s="2"/>
      <c r="K101" s="2"/>
      <c r="L101" s="2"/>
      <c r="M101" s="2"/>
      <c r="N101" s="2"/>
      <c r="O101" s="2"/>
      <c r="P101" s="2"/>
      <c r="Q101" s="2"/>
      <c r="R101" s="2"/>
      <c r="S101" s="2"/>
      <c r="T101" s="2"/>
      <c r="V101" s="2"/>
      <c r="W101" s="17"/>
      <c r="X101" s="16"/>
      <c r="Y101" s="2"/>
      <c r="Z101" s="2"/>
      <c r="AA101" s="2"/>
      <c r="AB101" s="2"/>
      <c r="AC101" s="2"/>
      <c r="AD101" s="2"/>
      <c r="AE101" s="2"/>
      <c r="AF101" s="2"/>
      <c r="AG101" s="2"/>
      <c r="AH101" s="2"/>
      <c r="AI101" s="2"/>
      <c r="AJ101" s="2"/>
      <c r="AK101" s="2"/>
      <c r="AL101" s="2"/>
      <c r="AM101" s="2"/>
      <c r="AN101" s="2"/>
      <c r="AO101" s="2"/>
      <c r="AP101" s="2"/>
      <c r="AQ101" s="2"/>
      <c r="AR101" s="2"/>
      <c r="AS101" s="2"/>
      <c r="AT101" s="2"/>
      <c r="AU101" s="2"/>
      <c r="AV101" s="2"/>
      <c r="AX101" s="2"/>
      <c r="AY101" s="2"/>
      <c r="AZ101" s="2"/>
      <c r="BA101" s="2"/>
      <c r="BB101" s="2"/>
      <c r="BC101" s="2"/>
      <c r="BD101" s="2"/>
      <c r="BE101" s="2"/>
      <c r="BF101" s="2"/>
      <c r="BG101" s="2"/>
      <c r="BH101" s="2"/>
      <c r="BI101" s="2"/>
      <c r="BL101" s="2"/>
      <c r="BM101" s="2"/>
    </row>
    <row r="102" spans="6:65" ht="13.5" hidden="1" customHeight="1">
      <c r="F102" s="2"/>
      <c r="G102" s="2"/>
      <c r="H102" s="2"/>
      <c r="I102" s="2"/>
      <c r="J102" s="2"/>
      <c r="K102" s="2"/>
      <c r="L102" s="2"/>
      <c r="M102" s="2"/>
      <c r="N102" s="2"/>
      <c r="O102" s="2"/>
      <c r="P102" s="2"/>
      <c r="Q102" s="2"/>
      <c r="R102" s="2"/>
      <c r="S102" s="2"/>
      <c r="T102" s="2"/>
      <c r="V102" s="2"/>
      <c r="W102" s="2"/>
      <c r="X102" s="2"/>
      <c r="Y102" s="2"/>
      <c r="Z102" s="2"/>
      <c r="AA102" s="2"/>
      <c r="AB102" s="2"/>
      <c r="AC102" s="2"/>
      <c r="AD102" s="2"/>
      <c r="AE102" s="2"/>
      <c r="AF102" s="2"/>
      <c r="AG102" s="2"/>
      <c r="AH102" s="2"/>
      <c r="AI102" s="2"/>
      <c r="AJ102" s="2"/>
      <c r="AK102" s="2"/>
      <c r="AL102" s="2"/>
      <c r="AM102" s="2"/>
      <c r="AN102" s="2"/>
      <c r="AO102" s="2"/>
      <c r="AP102" s="2"/>
      <c r="AQ102" s="2"/>
      <c r="AR102" s="2"/>
      <c r="AS102" s="2"/>
      <c r="AT102" s="2"/>
      <c r="AU102" s="2"/>
      <c r="AV102" s="2"/>
      <c r="AX102" s="2"/>
      <c r="AY102" s="2"/>
      <c r="AZ102" s="2"/>
      <c r="BA102" s="2"/>
      <c r="BB102" s="2"/>
      <c r="BC102" s="2"/>
      <c r="BD102" s="2"/>
      <c r="BE102" s="2"/>
      <c r="BF102" s="2"/>
      <c r="BG102" s="2"/>
      <c r="BH102" s="2"/>
      <c r="BI102" s="2"/>
      <c r="BL102" s="2"/>
      <c r="BM102" s="2"/>
    </row>
    <row r="103" spans="6:65" s="125" customFormat="1" ht="15.75" hidden="1" thickBot="1">
      <c r="F103" s="124"/>
      <c r="G103" s="124"/>
      <c r="H103" s="124"/>
      <c r="I103" s="124"/>
      <c r="J103" s="124"/>
      <c r="K103" s="124"/>
      <c r="L103" s="124"/>
      <c r="M103" s="124"/>
      <c r="N103" s="124"/>
      <c r="O103" s="124"/>
      <c r="P103" s="124"/>
      <c r="Q103" s="124"/>
      <c r="R103" s="124"/>
      <c r="S103" s="124"/>
      <c r="T103" s="124"/>
      <c r="V103" s="124"/>
      <c r="W103" s="124"/>
      <c r="X103" s="124"/>
      <c r="Y103" s="124"/>
      <c r="Z103" s="124"/>
      <c r="AA103" s="124"/>
      <c r="AB103" s="124"/>
      <c r="AC103" s="124"/>
      <c r="AD103" s="124"/>
      <c r="AE103" s="124"/>
      <c r="AF103" s="124"/>
      <c r="AG103" s="124"/>
      <c r="AH103" s="124"/>
      <c r="AI103" s="124"/>
      <c r="AJ103" s="124"/>
      <c r="AK103" s="124"/>
      <c r="AL103" s="124"/>
      <c r="AM103" s="124"/>
      <c r="AN103" s="124"/>
      <c r="AO103" s="124"/>
      <c r="AP103" s="124"/>
      <c r="AQ103" s="124"/>
      <c r="AR103" s="124"/>
      <c r="AS103" s="124"/>
      <c r="AT103" s="124"/>
      <c r="AU103" s="124"/>
      <c r="AV103" s="124"/>
      <c r="AX103" s="124"/>
      <c r="AY103" s="124"/>
      <c r="AZ103" s="124"/>
      <c r="BA103" s="124"/>
      <c r="BB103" s="124"/>
      <c r="BC103" s="124"/>
      <c r="BD103" s="124"/>
      <c r="BE103" s="124"/>
      <c r="BF103" s="124"/>
      <c r="BG103" s="124"/>
      <c r="BH103" s="124"/>
      <c r="BI103" s="124"/>
      <c r="BL103" s="124"/>
      <c r="BM103" s="124"/>
    </row>
    <row r="104" spans="6:65" ht="15.75" hidden="1" thickTop="1">
      <c r="F104" s="2"/>
      <c r="G104" s="12"/>
      <c r="H104" s="2" t="s">
        <v>55</v>
      </c>
      <c r="I104" s="2"/>
      <c r="J104" s="2"/>
      <c r="K104" s="2"/>
      <c r="L104" s="2"/>
      <c r="M104" s="2"/>
      <c r="N104" s="2"/>
      <c r="O104" s="2"/>
      <c r="P104" s="2"/>
      <c r="Q104" s="2"/>
      <c r="R104" s="2"/>
      <c r="S104" s="2"/>
      <c r="T104" s="2"/>
      <c r="V104" s="2"/>
      <c r="W104" s="12"/>
      <c r="X104" s="2" t="s">
        <v>55</v>
      </c>
      <c r="Y104" s="2"/>
      <c r="Z104" s="2"/>
      <c r="AA104" s="2"/>
      <c r="AB104" s="2"/>
      <c r="AC104" s="2"/>
      <c r="AD104" s="2"/>
      <c r="AE104" s="2"/>
      <c r="AF104" s="2"/>
      <c r="AG104" s="2"/>
      <c r="AH104" s="2"/>
      <c r="AI104" s="2"/>
      <c r="AJ104" s="2"/>
      <c r="AK104" s="12"/>
      <c r="AL104" s="2" t="s">
        <v>55</v>
      </c>
      <c r="AM104" s="2"/>
      <c r="AN104" s="2"/>
      <c r="AO104" s="2"/>
      <c r="AP104" s="2"/>
      <c r="AQ104" s="2"/>
      <c r="AR104" s="2"/>
      <c r="AS104" s="2"/>
      <c r="AT104" s="2"/>
      <c r="AU104" s="2"/>
      <c r="AV104" s="2"/>
      <c r="AX104" s="2"/>
      <c r="AY104" s="12"/>
      <c r="AZ104" s="2" t="s">
        <v>55</v>
      </c>
      <c r="BA104" s="2"/>
      <c r="BB104" s="2"/>
      <c r="BC104" s="2"/>
      <c r="BD104" s="2"/>
      <c r="BE104" s="2"/>
      <c r="BF104" s="2"/>
      <c r="BG104" s="2"/>
      <c r="BH104" s="2"/>
      <c r="BI104" s="2"/>
      <c r="BL104" s="2"/>
      <c r="BM104" s="2"/>
    </row>
    <row r="105" spans="6:65" hidden="1">
      <c r="F105" s="2"/>
      <c r="G105" s="12" t="s">
        <v>56</v>
      </c>
      <c r="H105" s="12" t="s">
        <v>57</v>
      </c>
      <c r="I105" s="2" t="s">
        <v>58</v>
      </c>
      <c r="J105" s="2" t="s">
        <v>58</v>
      </c>
      <c r="K105" s="12" t="s">
        <v>59</v>
      </c>
      <c r="L105" s="2" t="s">
        <v>60</v>
      </c>
      <c r="M105" s="2" t="s">
        <v>61</v>
      </c>
      <c r="N105" s="2" t="s">
        <v>62</v>
      </c>
      <c r="O105" s="2"/>
      <c r="P105" s="2"/>
      <c r="Q105" s="2"/>
      <c r="R105" s="2"/>
      <c r="S105" s="2"/>
      <c r="T105" s="2"/>
      <c r="V105" s="2"/>
      <c r="W105" s="12" t="s">
        <v>56</v>
      </c>
      <c r="X105" s="12" t="s">
        <v>57</v>
      </c>
      <c r="Y105" s="2" t="s">
        <v>58</v>
      </c>
      <c r="Z105" s="2" t="s">
        <v>58</v>
      </c>
      <c r="AA105" s="12" t="s">
        <v>59</v>
      </c>
      <c r="AB105" s="2" t="s">
        <v>60</v>
      </c>
      <c r="AC105" s="2" t="s">
        <v>61</v>
      </c>
      <c r="AD105" s="2" t="s">
        <v>62</v>
      </c>
      <c r="AE105" s="2"/>
      <c r="AF105" s="2"/>
      <c r="AG105" s="2"/>
      <c r="AH105" s="2"/>
      <c r="AI105" s="2"/>
      <c r="AJ105" s="2"/>
      <c r="AK105" s="12" t="s">
        <v>56</v>
      </c>
      <c r="AL105" s="12" t="s">
        <v>57</v>
      </c>
      <c r="AM105" s="2" t="s">
        <v>58</v>
      </c>
      <c r="AN105" s="2" t="s">
        <v>58</v>
      </c>
      <c r="AO105" s="12" t="s">
        <v>59</v>
      </c>
      <c r="AP105" s="2" t="s">
        <v>60</v>
      </c>
      <c r="AQ105" s="2" t="s">
        <v>61</v>
      </c>
      <c r="AR105" s="2" t="s">
        <v>62</v>
      </c>
      <c r="AS105" s="2"/>
      <c r="AT105" s="2"/>
      <c r="AU105" s="2"/>
      <c r="AV105" s="2"/>
      <c r="AX105" s="2"/>
      <c r="AY105" s="12" t="s">
        <v>56</v>
      </c>
      <c r="AZ105" s="12" t="s">
        <v>57</v>
      </c>
      <c r="BA105" s="2" t="s">
        <v>58</v>
      </c>
      <c r="BB105" s="2" t="s">
        <v>58</v>
      </c>
      <c r="BC105" s="12" t="s">
        <v>59</v>
      </c>
      <c r="BD105" s="2" t="s">
        <v>60</v>
      </c>
      <c r="BE105" s="2" t="s">
        <v>61</v>
      </c>
      <c r="BF105" s="2" t="s">
        <v>62</v>
      </c>
      <c r="BG105" s="2"/>
      <c r="BH105" s="2"/>
      <c r="BI105" s="2"/>
      <c r="BL105" s="2"/>
      <c r="BM105" s="2"/>
    </row>
    <row r="106" spans="6:65" hidden="1">
      <c r="F106" s="2">
        <v>1</v>
      </c>
      <c r="G106" s="3" t="s">
        <v>63</v>
      </c>
      <c r="H106" s="62">
        <f>IF(I75=2,0.0922,IF(I75=3,0.1043,IF(I75=4,0.0342,IF(I75=5,0.0341,IF(I75=6,0.0123,IF(I75=7,0.0123,IF(I75=8,0.0123,IF(I75=9,0.0123,IF(I75=1,0.03533,"")))))))))</f>
        <v>9.2200000000000004E-2</v>
      </c>
      <c r="I106" s="3" t="str">
        <f>IF((J$9=G106),F106,"")</f>
        <v/>
      </c>
      <c r="J106" s="3">
        <f>IFERROR(SMALL(I$106:I$111,F106),"")</f>
        <v>2</v>
      </c>
      <c r="K106" s="3">
        <f>IF(I75=1, 64.25, IF(I75=2, 69.333, IF(I75=3, 69.333, IF(I75=4, 69.333, IF(I75=5, 64.25, IF(I75=6,64.25, IF(I75=7,64.25, IF(I75=8, 64.25, IF(I75=9, 64.25,"")))))))))</f>
        <v>69.332999999999998</v>
      </c>
      <c r="L106" s="3" t="b">
        <f>IF(J$106=F106,J$13*H106*9320)</f>
        <v>0</v>
      </c>
      <c r="M106" s="3" t="b">
        <f>IF(J$106=F106,J$14*H106*9320)</f>
        <v>0</v>
      </c>
      <c r="N106" s="3">
        <f>(((L106-M106)/1000)*0.000001)*J$7</f>
        <v>0</v>
      </c>
      <c r="O106" s="2" t="s">
        <v>64</v>
      </c>
      <c r="P106" s="2"/>
      <c r="Q106" s="2"/>
      <c r="R106" s="2"/>
      <c r="S106" s="2"/>
      <c r="T106" s="2"/>
      <c r="V106" s="2">
        <v>1</v>
      </c>
      <c r="W106" s="3" t="s">
        <v>63</v>
      </c>
      <c r="X106" s="62">
        <f>IF(Y75=2,0.0922,IF(Y75=3,0.1043,IF(Y75=4,0.0342,IF(Y75=5,0.0341,IF(Y75=6,0.0123,IF(Y75=7,0.0123,IF(Y75=8,0.0123,IF(Y75=9,0.0123,IF(Y75=1,0.03533,"")))))))))</f>
        <v>9.2200000000000004E-2</v>
      </c>
      <c r="Y106" s="3" t="str">
        <f>IF((K$9=W106),V106,"")</f>
        <v/>
      </c>
      <c r="Z106" s="3">
        <f>IFERROR(SMALL(Y$106:Y$111,V106),"")</f>
        <v>2</v>
      </c>
      <c r="AA106" s="3">
        <f>IF(Y75=1, 64.25, IF(Y75=2, 69.333, IF(Y75=3, 69.333, IF(Y75=4, 69.333, IF(Y75=5, 64.25, IF(Y75=6,64.25, IF(Y75=7,64.25, IF(Y75=8, 64.25, IF(Y75=9, 64.25,"")))))))))</f>
        <v>69.332999999999998</v>
      </c>
      <c r="AB106" s="3" t="b">
        <f>IF(Z$106=V106,K$13*X106*9320)</f>
        <v>0</v>
      </c>
      <c r="AC106" s="3" t="b">
        <f>IF(Z$106=V106,K$14*X106*9320)</f>
        <v>0</v>
      </c>
      <c r="AD106" s="3">
        <f>(((AB106-AC106)/1000)*0.000001)*K$7</f>
        <v>0</v>
      </c>
      <c r="AE106" s="2" t="s">
        <v>64</v>
      </c>
      <c r="AF106" s="2"/>
      <c r="AG106" s="2"/>
      <c r="AH106" s="2"/>
      <c r="AI106" s="2"/>
      <c r="AJ106" s="2">
        <v>1</v>
      </c>
      <c r="AK106" s="3" t="s">
        <v>63</v>
      </c>
      <c r="AL106" s="62">
        <f>IF(AM75=2,0.0922,IF(AM75=3,0.1043,IF(AM75=4,0.0342,IF(AM75=5,0.0341,IF(AM75=6,0.0123,IF(AM75=7,0.0123,IF(AM75=8,0.0123,IF(AM75=9,0.0123,IF(AM75=1,0.03533,"")))))))))</f>
        <v>9.2200000000000004E-2</v>
      </c>
      <c r="AM106" s="3" t="str">
        <f>IF((L$9=AK106),AJ106,"")</f>
        <v/>
      </c>
      <c r="AN106" s="3">
        <f>IFERROR(SMALL(AM$106:AM$111,AJ106),"")</f>
        <v>2</v>
      </c>
      <c r="AO106" s="3" t="str">
        <f>IF(AM76=1, 64.25, IF(AM76=2, 69.333, IF(AM76=3, 69.333, IF(AM76=4, 69.333, IF(AM76=5, 64.25, IF(AM76=6,64.25, IF(AM76=7,64.25, IF(AM76=8, 64.25, IF(AM76=9, 64.25,"")))))))))</f>
        <v/>
      </c>
      <c r="AP106" s="3" t="b">
        <f>IF(AN$106=AJ106,L$13*AL106*9320)</f>
        <v>0</v>
      </c>
      <c r="AQ106" s="3" t="b">
        <f>IF(AN$106=AJ106,L$14*AL106*9320)</f>
        <v>0</v>
      </c>
      <c r="AR106" s="3">
        <f>(((AP106-AQ106)/1000)*0.000001)*L$7</f>
        <v>0</v>
      </c>
      <c r="AS106" s="2" t="s">
        <v>64</v>
      </c>
      <c r="AT106" s="2"/>
      <c r="AU106" s="2"/>
      <c r="AV106" s="2"/>
      <c r="AX106" s="2">
        <v>1</v>
      </c>
      <c r="AY106" s="3" t="s">
        <v>63</v>
      </c>
      <c r="AZ106" s="62">
        <f>IF(BA75=2,0.0922,IF(BA75=3,0.1043,IF(BA75=4,0.0342,IF(BA75=5,0.0341,IF(BA75=6,0.0123,IF(BA75=7,0.0123,IF(BA75=8,0.0123,IF(BA75=9,0.0123,IF(BA75=1,0.03533,"")))))))))</f>
        <v>9.2200000000000004E-2</v>
      </c>
      <c r="BA106" s="3" t="str">
        <f>IF((M$9=AY106),AX106,"")</f>
        <v/>
      </c>
      <c r="BB106" s="3">
        <f>IFERROR(SMALL(BA$106:BA$111,AX106),"")</f>
        <v>2</v>
      </c>
      <c r="BC106" s="3">
        <f>IF(BA75=1, 64.25, IF(BA75=2, 69.333, IF(BA75=3, 69.333, IF(BA75=4, 69.333, IF(BA75=5, 64.25, IF(BA75=6,64.25, IF(BA75=7,64.25, IF(BA75=8, 64.25, IF(BA75=9, 64.25,"")))))))))</f>
        <v>69.332999999999998</v>
      </c>
      <c r="BD106" s="3" t="b">
        <f>IF(BB$106=AX106,M$13*AZ106*9320)</f>
        <v>0</v>
      </c>
      <c r="BE106" s="3" t="b">
        <f>IF(BB$106=AX106,M$14*AZ106*9320)</f>
        <v>0</v>
      </c>
      <c r="BF106" s="3">
        <f>(((BD106-BE106)/1000)*0.000001)*M$7</f>
        <v>0</v>
      </c>
      <c r="BG106" s="2" t="s">
        <v>64</v>
      </c>
      <c r="BH106" s="2"/>
      <c r="BI106" s="2"/>
      <c r="BL106" s="2"/>
      <c r="BM106" s="2"/>
    </row>
    <row r="107" spans="6:65" hidden="1">
      <c r="F107" s="2">
        <v>2</v>
      </c>
      <c r="G107" s="3" t="s">
        <v>106</v>
      </c>
      <c r="H107" s="3">
        <f>IF(I75=2,0.001,IF(I75=3,0.001,IF(I75=4,0.001,IF(I75=5,0.001,IF(I75=6,0.0019,IF(I75=7,0.0019,IF(I75=8,0.0019,IF(I75=9,0.0019,IF(I75=1,0.00151,"")))))))))</f>
        <v>1E-3</v>
      </c>
      <c r="I107" s="3">
        <f>IF((J$9=G107),F107,"")</f>
        <v>2</v>
      </c>
      <c r="J107" s="3" t="str">
        <f>IFERROR(SMALL(I$106:I$111,F107),"")</f>
        <v/>
      </c>
      <c r="K107" s="3">
        <f>IF(I75=1, 55.333, IF(I75=2, 64, IF(I75=3, 64, IF(I75=4, 64, IF(I75=5, 55.333, IF(I75=6,55.333, IF(I75=7,55.333, IF(I75=8, 55.333, IF(I75=9, 55.333,"")))))))))</f>
        <v>64</v>
      </c>
      <c r="L107" s="3">
        <f>IF(J$106=F107,J$13*H107*14415)</f>
        <v>720750</v>
      </c>
      <c r="M107" s="3">
        <f>IF(J$106=F107,J$14*H107*14415)</f>
        <v>0</v>
      </c>
      <c r="N107" s="3">
        <f>(((L107-M107)/1000)*0.000001)*J$7</f>
        <v>7.2074999999999993E-4</v>
      </c>
      <c r="O107" s="2" t="s">
        <v>64</v>
      </c>
      <c r="P107" s="2"/>
      <c r="Q107" s="2"/>
      <c r="R107" s="2"/>
      <c r="S107" s="2"/>
      <c r="T107" s="2"/>
      <c r="V107" s="2">
        <v>2</v>
      </c>
      <c r="W107" s="3" t="s">
        <v>106</v>
      </c>
      <c r="X107" s="3">
        <f>IF(Y75=2,0.001,IF(Y75=3,0.001,IF(Y75=4,0.001,IF(Y75=5,0.001,IF(Y75=6,0.0019,IF(Y75=7,0.0019,IF(Y75=8,0.0019,IF(Y75=9,0.0019,IF(Y75=1,0.00151,"")))))))))</f>
        <v>1E-3</v>
      </c>
      <c r="Y107" s="3">
        <f>IF((K$9=W107),V107,"")</f>
        <v>2</v>
      </c>
      <c r="Z107" s="3" t="str">
        <f>IFERROR(SMALL(Y$106:Y$111,V107),"")</f>
        <v/>
      </c>
      <c r="AA107" s="3">
        <f>IF(Y75=1, 55.333, IF(Y75=2, 64, IF(Y75=3, 64, IF(Y75=4, 64, IF(Y75=5, 55.333, IF(Y75=6,55.333, IF(Y75=7,55.333, IF(Y75=8, 55.333, IF(Y75=9, 55.333,"")))))))))</f>
        <v>64</v>
      </c>
      <c r="AB107" s="3">
        <f>IF(Z$106=V107,K$13*X107*14415)</f>
        <v>720750</v>
      </c>
      <c r="AC107" s="3">
        <f>IF(Z$106=V107,K$14*X107*14415)</f>
        <v>0</v>
      </c>
      <c r="AD107" s="3">
        <f t="shared" ref="AD107:AD108" si="34">(((AB107-AC107)/1000)*0.000001)*K$7</f>
        <v>7.2074999999999993E-4</v>
      </c>
      <c r="AE107" s="2" t="s">
        <v>64</v>
      </c>
      <c r="AF107" s="2"/>
      <c r="AG107" s="2"/>
      <c r="AH107" s="2"/>
      <c r="AI107" s="2"/>
      <c r="AJ107" s="2">
        <v>2</v>
      </c>
      <c r="AK107" s="3" t="s">
        <v>106</v>
      </c>
      <c r="AL107" s="3">
        <f>IF(AM75=2,0.001,IF(AM75=3,0.001,IF(AM75=4,0.001,IF(AM75=5,0.001,IF(AM75=6,0.0019,IF(AM75=7,0.0019,IF(AM75=8,0.0019,IF(AM75=9,0.0019,IF(AM75=1,0.00151,"")))))))))</f>
        <v>1E-3</v>
      </c>
      <c r="AM107" s="3">
        <f t="shared" ref="AM107:AM111" si="35">IF((L$9=AK107),AJ107,"")</f>
        <v>2</v>
      </c>
      <c r="AN107" s="3" t="str">
        <f>IFERROR(SMALL(AM$106:AM$111,AJ107),"")</f>
        <v/>
      </c>
      <c r="AO107" s="3" t="str">
        <f>IF(AM76=1, 55.333, IF(AM76=2, 64, IF(AM76=3, 64, IF(AM76=4, 64, IF(AM76=5, 55.333, IF(AM76=6,55.333, IF(AM76=7,55.333, IF(AM76=8, 55.333, IF(AM76=9, 55.333,"")))))))))</f>
        <v/>
      </c>
      <c r="AP107" s="3">
        <f>IF(AN$106=AJ107,L$13*AL107*14415)</f>
        <v>720750</v>
      </c>
      <c r="AQ107" s="3">
        <f>IF(AN$106=AJ107,L$14*AL107*14415)</f>
        <v>0</v>
      </c>
      <c r="AR107" s="3">
        <f>(((AP107-AQ107)/1000)*0.000001)*L$7</f>
        <v>7.2074999999999993E-4</v>
      </c>
      <c r="AS107" s="2" t="s">
        <v>64</v>
      </c>
      <c r="AT107" s="2"/>
      <c r="AU107" s="2"/>
      <c r="AV107" s="2"/>
      <c r="AX107" s="2">
        <v>2</v>
      </c>
      <c r="AY107" s="3" t="s">
        <v>106</v>
      </c>
      <c r="AZ107" s="3">
        <f>IF(BA75=2,0.001,IF(BA75=3,0.001,IF(BA75=4,0.001,IF(BA75=5,0.001,IF(BA75=6,0.0019,IF(BA75=7,0.0019,IF(BA75=8,0.0019,IF(BA75=9,0.0019,IF(BA75=1,0.00151,"")))))))))</f>
        <v>1E-3</v>
      </c>
      <c r="BA107" s="3">
        <f>IF((M$9=AY107),AX107,"")</f>
        <v>2</v>
      </c>
      <c r="BB107" s="3" t="str">
        <f>IFERROR(SMALL(BA$106:BA$111,AX107),"")</f>
        <v/>
      </c>
      <c r="BC107" s="3">
        <f>IF(BA75=1, 55.333, IF(BA75=2, 64, IF(BA75=3, 64, IF(BA75=4, 64, IF(BA75=5, 55.333, IF(BA75=6,55.333, IF(BA75=7,55.333, IF(BA75=8, 55.333, IF(BA75=9, 55.333,"")))))))))</f>
        <v>64</v>
      </c>
      <c r="BD107" s="3">
        <f>IF(BB$106=AX107,M$13*AZ107*14415)</f>
        <v>720750</v>
      </c>
      <c r="BE107" s="3">
        <f>IF(BB$106=AX107,M$14*AZ107*14415)</f>
        <v>0</v>
      </c>
      <c r="BF107" s="3">
        <f t="shared" ref="BF107:BF108" si="36">(((BD107-BE107)/1000)*0.000001)*M$7</f>
        <v>7.2074999999999993E-4</v>
      </c>
      <c r="BG107" s="2" t="s">
        <v>64</v>
      </c>
      <c r="BH107" s="2"/>
      <c r="BI107" s="2"/>
      <c r="BL107" s="2"/>
      <c r="BM107" s="2"/>
    </row>
    <row r="108" spans="6:65" hidden="1">
      <c r="F108" s="2">
        <v>3</v>
      </c>
      <c r="G108" s="3" t="s">
        <v>65</v>
      </c>
      <c r="H108" s="3">
        <f>IF(N75=2, 0.088, IF(N75=3, 0.1007, IF(N75=4, 0.0338, IF(N75=5, 0.0338, IF(N75=6, 0.0338, IF(N75=7, 0.0338, IF(N75=1, 0.0539, "")))))))</f>
        <v>8.7999999999999995E-2</v>
      </c>
      <c r="I108" s="3" t="str">
        <f>IF((J$9=G108),F108,"")</f>
        <v/>
      </c>
      <c r="J108" s="3" t="str">
        <f>IFERROR(SMALL(I$106:I$111,F108),"")</f>
        <v/>
      </c>
      <c r="K108" s="3">
        <v>57</v>
      </c>
      <c r="L108" s="3" t="b">
        <f>IF(J$106=F108,J$13*H108*12310)</f>
        <v>0</v>
      </c>
      <c r="M108" s="3" t="b">
        <f>IF(J$106=F108,J$14*H108*12310)</f>
        <v>0</v>
      </c>
      <c r="N108" s="3">
        <f>(((L108-M108)/1000)*0.000001)*J$7</f>
        <v>0</v>
      </c>
      <c r="O108" s="2" t="s">
        <v>64</v>
      </c>
      <c r="P108" s="2"/>
      <c r="Q108" s="2"/>
      <c r="R108" s="2"/>
      <c r="S108" s="2"/>
      <c r="T108" s="2"/>
      <c r="V108" s="2">
        <v>3</v>
      </c>
      <c r="W108" s="3" t="s">
        <v>65</v>
      </c>
      <c r="X108" s="3">
        <f>IF(AD75=2, 0.088, IF(AD75=3, 0.1007, IF(AD75=4, 0.0338, IF(AD75=5, 0.0338, IF(AD75=6, 0.0338, IF(AD75=7, 0.0338, IF(AD75=1, 0.0539, "")))))))</f>
        <v>8.7999999999999995E-2</v>
      </c>
      <c r="Y108" s="3" t="str">
        <f t="shared" ref="Y108:Y111" si="37">IF((K$9=W108),V108,"")</f>
        <v/>
      </c>
      <c r="Z108" s="3" t="str">
        <f>IFERROR(SMALL(Y$106:Y$111,V108),"")</f>
        <v/>
      </c>
      <c r="AA108" s="3">
        <v>57</v>
      </c>
      <c r="AB108" s="3" t="b">
        <f>IF(Z$106=V108,K$13*X108*12310)</f>
        <v>0</v>
      </c>
      <c r="AC108" s="3" t="b">
        <f>IF(Z$106=V108,K$14*X108*12310)</f>
        <v>0</v>
      </c>
      <c r="AD108" s="3">
        <f t="shared" si="34"/>
        <v>0</v>
      </c>
      <c r="AE108" s="2" t="s">
        <v>64</v>
      </c>
      <c r="AF108" s="2"/>
      <c r="AG108" s="2"/>
      <c r="AH108" s="2"/>
      <c r="AI108" s="2"/>
      <c r="AJ108" s="2">
        <v>3</v>
      </c>
      <c r="AK108" s="3" t="s">
        <v>65</v>
      </c>
      <c r="AL108" s="3">
        <f>IF(AR75=2, 0.088, IF(AR75=3, 0.1007, IF(AR75=4, 0.0338, IF(AR75=5, 0.0338, IF(AR75=6, 0.0338, IF(AR75=7, 0.0338, IF(AR75=1, 0.0539, "")))))))</f>
        <v>8.7999999999999995E-2</v>
      </c>
      <c r="AM108" s="3" t="str">
        <f t="shared" si="35"/>
        <v/>
      </c>
      <c r="AN108" s="3" t="str">
        <f>IFERROR(SMALL(AM$106:AM$111,AJ108),"")</f>
        <v/>
      </c>
      <c r="AO108" s="3">
        <v>57</v>
      </c>
      <c r="AP108" s="3" t="b">
        <f>IF(AN$106=AJ108,L$13*AL108*12310)</f>
        <v>0</v>
      </c>
      <c r="AQ108" s="3" t="b">
        <f>IF(AN$106=AJ108,L$14*AL108*12310)</f>
        <v>0</v>
      </c>
      <c r="AR108" s="3">
        <f>(((AP108-AQ108)/1000)*0.000001)*L$7</f>
        <v>0</v>
      </c>
      <c r="AS108" s="2" t="s">
        <v>64</v>
      </c>
      <c r="AT108" s="2"/>
      <c r="AU108" s="2"/>
      <c r="AV108" s="2"/>
      <c r="AX108" s="2">
        <v>3</v>
      </c>
      <c r="AY108" s="3" t="s">
        <v>65</v>
      </c>
      <c r="AZ108" s="3">
        <f>IF(BF75=2, 0.088, IF(BF75=3, 0.1007, IF(BF75=4, 0.0338, IF(BF75=5, 0.0338, IF(BF75=6, 0.0338, IF(BF75=7, 0.0338, IF(BF75=1, 0.0539, "")))))))</f>
        <v>8.7999999999999995E-2</v>
      </c>
      <c r="BA108" s="3" t="str">
        <f t="shared" ref="BA108:BA111" si="38">IF((M$9=AY108),AX108,"")</f>
        <v/>
      </c>
      <c r="BB108" s="3" t="str">
        <f>IFERROR(SMALL(BA$106:BA$111,AX108),"")</f>
        <v/>
      </c>
      <c r="BC108" s="3">
        <v>57</v>
      </c>
      <c r="BD108" s="3" t="b">
        <f>IF(BB$106=AX108,M$13*AZ108*12310)</f>
        <v>0</v>
      </c>
      <c r="BE108" s="3" t="b">
        <f>IF(BB$106=AX108,M$14*AZ108*12310)</f>
        <v>0</v>
      </c>
      <c r="BF108" s="3">
        <f t="shared" si="36"/>
        <v>0</v>
      </c>
      <c r="BG108" s="2" t="s">
        <v>64</v>
      </c>
      <c r="BH108" s="2"/>
      <c r="BI108" s="2"/>
      <c r="BL108" s="2"/>
      <c r="BM108" s="2"/>
    </row>
    <row r="109" spans="6:65" hidden="1">
      <c r="F109" s="11">
        <v>5</v>
      </c>
      <c r="G109" s="7" t="s">
        <v>66</v>
      </c>
      <c r="H109" s="7">
        <v>2.8299999999999999E-2</v>
      </c>
      <c r="I109" s="7" t="str">
        <f>IF((Q$9=G109),F109,"")</f>
        <v/>
      </c>
      <c r="J109" s="7" t="str">
        <f>IFERROR(SMALL(I$111:I$124,F109),"")</f>
        <v/>
      </c>
      <c r="K109" s="7">
        <f>39.57</f>
        <v>39.57</v>
      </c>
      <c r="L109" s="7" t="b">
        <f>IF(J$111=F109,I$9*(K109*H109))</f>
        <v>0</v>
      </c>
      <c r="M109" s="7" t="b">
        <f>IF(J$111=F109,L$9*(K109*H109))</f>
        <v>0</v>
      </c>
      <c r="N109" s="7">
        <f>L109-M109</f>
        <v>0</v>
      </c>
      <c r="O109" s="2"/>
      <c r="P109" s="2"/>
      <c r="Q109" s="2"/>
      <c r="R109" s="2"/>
      <c r="S109" s="2"/>
      <c r="T109" s="2"/>
      <c r="V109" s="11">
        <v>5</v>
      </c>
      <c r="W109" s="7" t="s">
        <v>66</v>
      </c>
      <c r="X109" s="7">
        <v>2.8299999999999999E-2</v>
      </c>
      <c r="Y109" s="3" t="str">
        <f t="shared" si="37"/>
        <v/>
      </c>
      <c r="Z109" s="7" t="str">
        <f>IFERROR(SMALL(Y$111:Y$124,V109),"")</f>
        <v/>
      </c>
      <c r="AA109" s="7">
        <f>39.57</f>
        <v>39.57</v>
      </c>
      <c r="AB109" s="7" t="b">
        <f>IF(Z$111=V109,Y$9*(AA109*X109))</f>
        <v>0</v>
      </c>
      <c r="AC109" s="7" t="b">
        <f>IF(Z$111=V109,AB$9*(AA109*X109))</f>
        <v>0</v>
      </c>
      <c r="AD109" s="7">
        <f>AB109-AC109</f>
        <v>0</v>
      </c>
      <c r="AE109" s="2"/>
      <c r="AF109" s="2"/>
      <c r="AG109" s="2"/>
      <c r="AH109" s="2"/>
      <c r="AI109" s="2"/>
      <c r="AJ109" s="11">
        <v>5</v>
      </c>
      <c r="AK109" s="7" t="s">
        <v>66</v>
      </c>
      <c r="AL109" s="7">
        <v>2.8299999999999999E-2</v>
      </c>
      <c r="AM109" s="3" t="str">
        <f t="shared" si="35"/>
        <v/>
      </c>
      <c r="AN109" s="7" t="str">
        <f>IFERROR(SMALL(AM$111:AM$124,AJ109),"")</f>
        <v/>
      </c>
      <c r="AO109" s="7">
        <f>39.57</f>
        <v>39.57</v>
      </c>
      <c r="AP109" s="7" t="b">
        <f>IF(AN$111=AJ109,AM$9*(AO109*AL109))</f>
        <v>0</v>
      </c>
      <c r="AQ109" s="7" t="b">
        <f>IF(AN$111=AJ109,AP$9*(AO109*AL109))</f>
        <v>0</v>
      </c>
      <c r="AR109" s="7">
        <f>AP109-AQ109</f>
        <v>0</v>
      </c>
      <c r="AS109" s="2"/>
      <c r="AT109" s="2"/>
      <c r="AU109" s="2"/>
      <c r="AV109" s="2"/>
      <c r="AX109" s="11">
        <v>5</v>
      </c>
      <c r="AY109" s="7" t="s">
        <v>66</v>
      </c>
      <c r="AZ109" s="7">
        <v>2.8299999999999999E-2</v>
      </c>
      <c r="BA109" s="3" t="str">
        <f t="shared" si="38"/>
        <v/>
      </c>
      <c r="BB109" s="7" t="str">
        <f>IFERROR(SMALL(BA$111:BA$124,AX109),"")</f>
        <v/>
      </c>
      <c r="BC109" s="7">
        <f>39.57</f>
        <v>39.57</v>
      </c>
      <c r="BD109" s="7" t="b">
        <f>IF(BB$111=AX109,BA$9*(BC109*AZ109))</f>
        <v>0</v>
      </c>
      <c r="BE109" s="7" t="b">
        <f>IF(BB$111=AX109,BD$9*(BC109*AZ109))</f>
        <v>0</v>
      </c>
      <c r="BF109" s="7">
        <f>BD109-BE109</f>
        <v>0</v>
      </c>
      <c r="BG109" s="2"/>
      <c r="BH109" s="2"/>
      <c r="BI109" s="2"/>
      <c r="BL109" s="2"/>
      <c r="BM109" s="2"/>
    </row>
    <row r="110" spans="6:65" hidden="1">
      <c r="F110" s="11">
        <v>6</v>
      </c>
      <c r="G110" s="7" t="s">
        <v>67</v>
      </c>
      <c r="H110" s="7">
        <v>3.3799999999999997E-2</v>
      </c>
      <c r="I110" s="7" t="str">
        <f>IF((Q$9=G110),F110,"")</f>
        <v/>
      </c>
      <c r="J110" s="7" t="str">
        <f>IFERROR(SMALL(I$111:I$124,F110),"")</f>
        <v/>
      </c>
      <c r="K110" s="7">
        <f>87</f>
        <v>87</v>
      </c>
      <c r="L110" s="7" t="b">
        <f>IF(J$111=F110,I$9*(K110*H110))</f>
        <v>0</v>
      </c>
      <c r="M110" s="7" t="b">
        <f>IF(J$111=F110,L$9*(K110*H110))</f>
        <v>0</v>
      </c>
      <c r="N110" s="7">
        <f>L110-M110</f>
        <v>0</v>
      </c>
      <c r="O110" s="2"/>
      <c r="P110" s="2"/>
      <c r="Q110" s="2"/>
      <c r="R110" s="2"/>
      <c r="S110" s="2"/>
      <c r="T110" s="2"/>
      <c r="V110" s="11">
        <v>6</v>
      </c>
      <c r="W110" s="7" t="s">
        <v>67</v>
      </c>
      <c r="X110" s="7">
        <v>3.3799999999999997E-2</v>
      </c>
      <c r="Y110" s="3" t="str">
        <f t="shared" si="37"/>
        <v/>
      </c>
      <c r="Z110" s="7" t="str">
        <f>IFERROR(SMALL(Y$111:Y$124,V110),"")</f>
        <v/>
      </c>
      <c r="AA110" s="7">
        <f>87</f>
        <v>87</v>
      </c>
      <c r="AB110" s="7" t="b">
        <f>IF(Z$111=V110,Y$9*(AA110*X110))</f>
        <v>0</v>
      </c>
      <c r="AC110" s="7" t="b">
        <f>IF(Z$111=V110,AB$9*(AA110*X110))</f>
        <v>0</v>
      </c>
      <c r="AD110" s="7">
        <f>AB110-AC110</f>
        <v>0</v>
      </c>
      <c r="AE110" s="2"/>
      <c r="AF110" s="2"/>
      <c r="AG110" s="2"/>
      <c r="AH110" s="2"/>
      <c r="AI110" s="2"/>
      <c r="AJ110" s="11">
        <v>6</v>
      </c>
      <c r="AK110" s="7" t="s">
        <v>67</v>
      </c>
      <c r="AL110" s="7">
        <v>3.3799999999999997E-2</v>
      </c>
      <c r="AM110" s="3" t="str">
        <f t="shared" si="35"/>
        <v/>
      </c>
      <c r="AN110" s="7" t="str">
        <f>IFERROR(SMALL(AM$111:AM$124,AJ110),"")</f>
        <v/>
      </c>
      <c r="AO110" s="7">
        <f>87</f>
        <v>87</v>
      </c>
      <c r="AP110" s="7" t="b">
        <f>IF(AN$111=AJ110,AM$9*(AO110*AL110))</f>
        <v>0</v>
      </c>
      <c r="AQ110" s="7" t="b">
        <f>IF(AN$111=AJ110,AP$9*(AO110*AL110))</f>
        <v>0</v>
      </c>
      <c r="AR110" s="7">
        <f>AP110-AQ110</f>
        <v>0</v>
      </c>
      <c r="AS110" s="2"/>
      <c r="AT110" s="2"/>
      <c r="AU110" s="2"/>
      <c r="AV110" s="2"/>
      <c r="AX110" s="11">
        <v>6</v>
      </c>
      <c r="AY110" s="7" t="s">
        <v>67</v>
      </c>
      <c r="AZ110" s="7">
        <v>3.3799999999999997E-2</v>
      </c>
      <c r="BA110" s="3" t="str">
        <f t="shared" si="38"/>
        <v/>
      </c>
      <c r="BB110" s="7" t="str">
        <f>IFERROR(SMALL(BA$111:BA$124,AX110),"")</f>
        <v/>
      </c>
      <c r="BC110" s="7">
        <f>87</f>
        <v>87</v>
      </c>
      <c r="BD110" s="7" t="b">
        <f>IF(BB$111=AX110,BA$9*(BC110*AZ110))</f>
        <v>0</v>
      </c>
      <c r="BE110" s="7" t="b">
        <f>IF(BB$111=AX110,BD$9*(BC110*AZ110))</f>
        <v>0</v>
      </c>
      <c r="BF110" s="7">
        <f>BD110-BE110</f>
        <v>0</v>
      </c>
      <c r="BG110" s="2"/>
      <c r="BH110" s="2"/>
      <c r="BI110" s="2"/>
      <c r="BL110" s="2"/>
      <c r="BM110" s="2"/>
    </row>
    <row r="111" spans="6:65" hidden="1">
      <c r="F111" s="11">
        <v>7</v>
      </c>
      <c r="G111" s="7" t="s">
        <v>68</v>
      </c>
      <c r="H111" s="7">
        <v>3.39E-2</v>
      </c>
      <c r="I111" s="7" t="str">
        <f>IF((Q$9=G111),F111,"")</f>
        <v/>
      </c>
      <c r="J111" s="7" t="str">
        <f>IFERROR(SMALL(I$111:I$124,F111),"")</f>
        <v/>
      </c>
      <c r="K111" s="7">
        <f>63</f>
        <v>63</v>
      </c>
      <c r="L111" s="7" t="b">
        <f>IF(J$111=F111,I$9*(K111*H111))</f>
        <v>0</v>
      </c>
      <c r="M111" s="7" t="b">
        <f>IF(J$111=F111,L$9*(K111*H111))</f>
        <v>0</v>
      </c>
      <c r="N111" s="7">
        <f>L111-M111</f>
        <v>0</v>
      </c>
      <c r="O111" s="2"/>
      <c r="P111" s="2"/>
      <c r="Q111" s="2"/>
      <c r="R111" s="2"/>
      <c r="S111" s="2"/>
      <c r="T111" s="2"/>
      <c r="V111" s="11">
        <v>7</v>
      </c>
      <c r="W111" s="7" t="s">
        <v>68</v>
      </c>
      <c r="X111" s="7">
        <v>3.39E-2</v>
      </c>
      <c r="Y111" s="3" t="str">
        <f t="shared" si="37"/>
        <v/>
      </c>
      <c r="Z111" s="7" t="str">
        <f>IFERROR(SMALL(Y$111:Y$124,V111),"")</f>
        <v/>
      </c>
      <c r="AA111" s="7">
        <f>63</f>
        <v>63</v>
      </c>
      <c r="AB111" s="7" t="b">
        <f>IF(Z$111=V111,Y$9*(AA111*X111))</f>
        <v>0</v>
      </c>
      <c r="AC111" s="7" t="b">
        <f>IF(Z$111=V111,AB$9*(AA111*X111))</f>
        <v>0</v>
      </c>
      <c r="AD111" s="7">
        <f>AB111-AC111</f>
        <v>0</v>
      </c>
      <c r="AE111" s="2"/>
      <c r="AF111" s="2"/>
      <c r="AG111" s="2"/>
      <c r="AH111" s="2"/>
      <c r="AI111" s="2"/>
      <c r="AJ111" s="11">
        <v>7</v>
      </c>
      <c r="AK111" s="7" t="s">
        <v>68</v>
      </c>
      <c r="AL111" s="7">
        <v>3.39E-2</v>
      </c>
      <c r="AM111" s="3" t="str">
        <f t="shared" si="35"/>
        <v/>
      </c>
      <c r="AN111" s="7" t="str">
        <f>IFERROR(SMALL(AM$111:AM$124,AJ111),"")</f>
        <v/>
      </c>
      <c r="AO111" s="7">
        <f>63</f>
        <v>63</v>
      </c>
      <c r="AP111" s="7" t="b">
        <f>IF(AN$111=AJ111,AM$9*(AO111*AL111))</f>
        <v>0</v>
      </c>
      <c r="AQ111" s="7" t="b">
        <f>IF(AN$111=AJ111,AP$9*(AO111*AL111))</f>
        <v>0</v>
      </c>
      <c r="AR111" s="7">
        <f>AP111-AQ111</f>
        <v>0</v>
      </c>
      <c r="AS111" s="2"/>
      <c r="AT111" s="2"/>
      <c r="AU111" s="2"/>
      <c r="AV111" s="2"/>
      <c r="AX111" s="11">
        <v>7</v>
      </c>
      <c r="AY111" s="7" t="s">
        <v>68</v>
      </c>
      <c r="AZ111" s="7">
        <v>3.39E-2</v>
      </c>
      <c r="BA111" s="3" t="str">
        <f t="shared" si="38"/>
        <v/>
      </c>
      <c r="BB111" s="7" t="str">
        <f>IFERROR(SMALL(BA$111:BA$124,AX111),"")</f>
        <v/>
      </c>
      <c r="BC111" s="7">
        <f>63</f>
        <v>63</v>
      </c>
      <c r="BD111" s="7" t="b">
        <f>IF(BB$111=AX111,BA$9*(BC111*AZ111))</f>
        <v>0</v>
      </c>
      <c r="BE111" s="7" t="b">
        <f>IF(BB$111=AX111,BD$9*(BC111*AZ111))</f>
        <v>0</v>
      </c>
      <c r="BF111" s="7">
        <f>BD111-BE111</f>
        <v>0</v>
      </c>
      <c r="BG111" s="2"/>
      <c r="BH111" s="2"/>
      <c r="BI111" s="2"/>
      <c r="BL111" s="2"/>
      <c r="BM111" s="2"/>
    </row>
    <row r="112" spans="6:65" ht="21.6" hidden="1" customHeight="1">
      <c r="F112" s="2"/>
      <c r="G112" s="12"/>
      <c r="H112" s="2" t="s">
        <v>55</v>
      </c>
      <c r="I112" s="2"/>
      <c r="J112" s="2"/>
      <c r="K112" s="2"/>
      <c r="L112" s="2"/>
      <c r="M112" s="2"/>
      <c r="N112" s="2"/>
      <c r="O112" s="2"/>
      <c r="P112" s="2"/>
      <c r="Q112" s="2"/>
      <c r="R112" s="2"/>
      <c r="S112" s="2"/>
      <c r="T112" s="2"/>
      <c r="V112" s="2"/>
      <c r="W112" s="2"/>
      <c r="X112" s="2"/>
      <c r="Y112" s="2"/>
      <c r="Z112" s="2"/>
      <c r="AA112" s="2"/>
      <c r="AB112" s="2"/>
      <c r="AC112" s="2"/>
      <c r="AD112" s="2"/>
      <c r="AE112" s="2"/>
      <c r="AF112" s="2"/>
      <c r="AG112" s="2"/>
      <c r="AH112" s="2"/>
      <c r="AI112" s="2"/>
      <c r="AJ112" s="2"/>
      <c r="AK112" s="2"/>
      <c r="AL112" s="2"/>
      <c r="AM112" s="2"/>
      <c r="AN112" s="2"/>
      <c r="AO112" s="2"/>
      <c r="AP112" s="2"/>
      <c r="AQ112" s="2"/>
      <c r="AR112" s="2"/>
      <c r="AS112" s="2"/>
      <c r="AT112" s="2"/>
      <c r="AU112" s="2"/>
      <c r="AV112" s="2"/>
      <c r="AX112" s="2"/>
      <c r="AY112" s="2"/>
      <c r="AZ112" s="2"/>
      <c r="BA112" s="2"/>
      <c r="BB112" s="2"/>
      <c r="BC112" s="2"/>
      <c r="BD112" s="2"/>
      <c r="BE112" s="2"/>
      <c r="BF112" s="2"/>
      <c r="BG112" s="2"/>
      <c r="BH112" s="2"/>
      <c r="BI112" s="2"/>
      <c r="BL112" s="2"/>
      <c r="BM112" s="2"/>
    </row>
    <row r="113" spans="6:65" s="123" customFormat="1" ht="29.1" hidden="1" customHeight="1">
      <c r="F113" s="126"/>
      <c r="G113" s="127" t="s">
        <v>56</v>
      </c>
      <c r="H113" s="127" t="s">
        <v>57</v>
      </c>
      <c r="I113" s="126" t="s">
        <v>58</v>
      </c>
      <c r="J113" s="126" t="s">
        <v>58</v>
      </c>
      <c r="K113" s="127" t="s">
        <v>59</v>
      </c>
      <c r="L113" s="126" t="s">
        <v>60</v>
      </c>
      <c r="M113" s="126" t="s">
        <v>61</v>
      </c>
      <c r="N113" s="126" t="s">
        <v>62</v>
      </c>
      <c r="O113" s="126"/>
      <c r="P113" s="126"/>
      <c r="Q113" s="126"/>
      <c r="R113" s="126"/>
      <c r="S113" s="126"/>
      <c r="T113" s="126"/>
      <c r="V113" s="126"/>
      <c r="W113" s="127" t="s">
        <v>56</v>
      </c>
      <c r="X113" s="127" t="s">
        <v>57</v>
      </c>
      <c r="Y113" s="126" t="s">
        <v>58</v>
      </c>
      <c r="Z113" s="126" t="s">
        <v>58</v>
      </c>
      <c r="AA113" s="127" t="s">
        <v>59</v>
      </c>
      <c r="AB113" s="126" t="s">
        <v>60</v>
      </c>
      <c r="AC113" s="126" t="s">
        <v>61</v>
      </c>
      <c r="AD113" s="126" t="s">
        <v>62</v>
      </c>
      <c r="AE113" s="126"/>
      <c r="AF113" s="126"/>
      <c r="AG113" s="126"/>
      <c r="AH113" s="126"/>
      <c r="AI113" s="126"/>
      <c r="AJ113" s="126"/>
      <c r="AK113" s="127" t="s">
        <v>56</v>
      </c>
      <c r="AL113" s="127" t="s">
        <v>57</v>
      </c>
      <c r="AM113" s="126" t="s">
        <v>58</v>
      </c>
      <c r="AN113" s="126" t="s">
        <v>58</v>
      </c>
      <c r="AO113" s="127" t="s">
        <v>59</v>
      </c>
      <c r="AP113" s="126" t="s">
        <v>60</v>
      </c>
      <c r="AQ113" s="126" t="s">
        <v>61</v>
      </c>
      <c r="AR113" s="126" t="s">
        <v>62</v>
      </c>
      <c r="AS113" s="126"/>
      <c r="AT113" s="126"/>
      <c r="AU113" s="126"/>
      <c r="AV113" s="126"/>
      <c r="AX113" s="126"/>
      <c r="AY113" s="127" t="s">
        <v>56</v>
      </c>
      <c r="AZ113" s="127" t="s">
        <v>57</v>
      </c>
      <c r="BA113" s="126" t="s">
        <v>58</v>
      </c>
      <c r="BB113" s="126" t="s">
        <v>58</v>
      </c>
      <c r="BC113" s="127" t="s">
        <v>59</v>
      </c>
      <c r="BD113" s="126" t="s">
        <v>60</v>
      </c>
      <c r="BE113" s="126" t="s">
        <v>61</v>
      </c>
      <c r="BF113" s="126" t="s">
        <v>62</v>
      </c>
      <c r="BG113" s="126"/>
      <c r="BH113" s="126"/>
      <c r="BI113" s="126"/>
      <c r="BL113" s="126"/>
      <c r="BM113" s="126"/>
    </row>
    <row r="114" spans="6:65" s="123" customFormat="1" ht="21.6" hidden="1" customHeight="1">
      <c r="F114" s="126">
        <v>1</v>
      </c>
      <c r="G114" s="128" t="s">
        <v>63</v>
      </c>
      <c r="H114" s="131">
        <f>IF(I86=2,0.0922,IF(I86=3,0.1043,IF(I86=4,0.0342,IF(I86=5,0.0341,IF(I86=6,0.0123,IF(I86=7,0.0123,IF(I86=8,0.0123,IF(I86=9,0.0123,IF(I86=1,0.03533,"")))))))))</f>
        <v>3.533E-2</v>
      </c>
      <c r="I114" s="128">
        <f>IF((J$11=G114),F114,"")</f>
        <v>1</v>
      </c>
      <c r="J114" s="128">
        <f>IFERROR(SMALL(I$114:I$119,F114),"")</f>
        <v>1</v>
      </c>
      <c r="K114" s="128">
        <f>IF(I86=1, 64.25, IF(I86=2, 69.333, IF(I86=3, 69.333, IF(I86=4, 69.333, IF(I86=5, 64.25, IF(I86=6,64.25, IF(I86=7,64.25, IF(I86=8, 64.25, IF(I86=9, 64.25,"")))))))))</f>
        <v>64.25</v>
      </c>
      <c r="L114" s="3">
        <f>IF(J$114=F114,J$13*H114*9320)</f>
        <v>16463780</v>
      </c>
      <c r="M114" s="3">
        <f>IF(J$114=F114,J$14*H114*9320)</f>
        <v>0</v>
      </c>
      <c r="N114" s="128">
        <f>(((L114-M114)/1000)*0.000001)*J$7</f>
        <v>1.6463779999999997E-2</v>
      </c>
      <c r="O114" s="126" t="s">
        <v>64</v>
      </c>
      <c r="P114" s="126"/>
      <c r="Q114" s="126"/>
      <c r="R114" s="126"/>
      <c r="S114" s="126"/>
      <c r="T114" s="126"/>
      <c r="V114" s="126">
        <v>1</v>
      </c>
      <c r="W114" s="128" t="s">
        <v>63</v>
      </c>
      <c r="X114" s="131">
        <f>IF(Y86=2,0.0922,IF(Y86=3,0.1043,IF(Y86=4,0.0342,IF(Y86=5,0.0341,IF(Y86=6,0.0123,IF(Y86=7,0.0123,IF(Y86=8,0.0123,IF(Y86=9,0.0123,IF(Y86=1,0.03533,"")))))))))</f>
        <v>3.533E-2</v>
      </c>
      <c r="Y114" s="128">
        <f>IF((K$11=W114),V114,"")</f>
        <v>1</v>
      </c>
      <c r="Z114" s="128">
        <f>IFERROR(SMALL(Y$114:Y$119,V114),"")</f>
        <v>1</v>
      </c>
      <c r="AA114" s="128">
        <f>IF(Y86=1, 64.25, IF(Y86=2, 69.333, IF(Y86=3, 69.333, IF(Y86=4, 69.333, IF(Y86=5, 64.25, IF(Y86=6,64.25, IF(Y86=7,64.25, IF(Y86=8, 64.25, IF(Y86=9, 64.25,"")))))))))</f>
        <v>64.25</v>
      </c>
      <c r="AB114" s="3">
        <f>IF(Z$114=V114,K$13*X114*9320)</f>
        <v>16463780</v>
      </c>
      <c r="AC114" s="3">
        <f>IF(Z$114=V114,K$14*X114*9320)</f>
        <v>0</v>
      </c>
      <c r="AD114" s="128">
        <f>(((AB114-AC114)/1000)*0.000001)*K$7</f>
        <v>1.6463779999999997E-2</v>
      </c>
      <c r="AE114" s="126" t="s">
        <v>64</v>
      </c>
      <c r="AF114" s="126"/>
      <c r="AG114" s="126"/>
      <c r="AH114" s="126"/>
      <c r="AI114" s="126"/>
      <c r="AJ114" s="126">
        <v>1</v>
      </c>
      <c r="AK114" s="128" t="s">
        <v>63</v>
      </c>
      <c r="AL114" s="131">
        <f>IF(AM86=2,0.0922,IF(AM86=3,0.1043,IF(AM86=4,0.0342,IF(AM86=5,0.0341,IF(AM86=6,0.0123,IF(AM86=7,0.0123,IF(AM86=8,0.0123,IF(AM86=9,0.0123,IF(AM86=1,0.03533,"")))))))))</f>
        <v>3.533E-2</v>
      </c>
      <c r="AM114" s="128">
        <f>IF((L$11=AK114),AJ114,"")</f>
        <v>1</v>
      </c>
      <c r="AN114" s="128">
        <f>IFERROR(SMALL(AM$114:AM$119,AJ114),"")</f>
        <v>1</v>
      </c>
      <c r="AO114" s="128">
        <f>IF(AM86=1, 64.25, IF(AM86=2, 69.333, IF(AM86=3, 69.333, IF(AM86=4, 69.333, IF(AM86=5, 64.25, IF(AM86=6,64.25, IF(AM86=7,64.25, IF(AM86=8, 64.25, IF(AM86=9, 64.25,"")))))))))</f>
        <v>64.25</v>
      </c>
      <c r="AP114" s="3">
        <f>IF(AN$114=AJ114,L$13*AL114*9320)</f>
        <v>16463780</v>
      </c>
      <c r="AQ114" s="3">
        <f>IF(AN$114=AJ114,L$14*AL114*9320)</f>
        <v>0</v>
      </c>
      <c r="AR114" s="128">
        <f>(((AP114-AQ114)/1000)*0.000001)*L$7</f>
        <v>1.6463779999999997E-2</v>
      </c>
      <c r="AS114" s="126" t="s">
        <v>64</v>
      </c>
      <c r="AT114" s="126"/>
      <c r="AU114" s="126"/>
      <c r="AV114" s="126"/>
      <c r="AX114" s="126">
        <v>1</v>
      </c>
      <c r="AY114" s="128" t="s">
        <v>63</v>
      </c>
      <c r="AZ114" s="131">
        <f>IF(BA86=2,0.0922,IF(BA86=3,0.1043,IF(BA86=4,0.0342,IF(BA86=5,0.0341,IF(BA86=6,0.0123,IF(BA86=7,0.0123,IF(BA86=8,0.0123,IF(BA86=9,0.0123,IF(BA86=1,0.03533,"")))))))))</f>
        <v>3.533E-2</v>
      </c>
      <c r="BA114" s="128">
        <f>IF((M$11=AY114),AX114,"")</f>
        <v>1</v>
      </c>
      <c r="BB114" s="128">
        <f>IFERROR(SMALL(BA$114:BA$119,AX114),"")</f>
        <v>1</v>
      </c>
      <c r="BC114" s="128">
        <f>IF(BA86=1, 64.25, IF(BA86=2, 69.333, IF(BA86=3, 69.333, IF(BA86=4, 69.333, IF(BA86=5, 64.25, IF(BA86=6,64.25, IF(BA86=7,64.25, IF(BA86=8, 64.25, IF(BA86=9, 64.25,"")))))))))</f>
        <v>64.25</v>
      </c>
      <c r="BD114" s="3">
        <f>IF(BB$114=AX114,M$13*AZ114*9320)</f>
        <v>16463780</v>
      </c>
      <c r="BE114" s="3">
        <f>IF(BB$114=AX114,M$14*AZ114*9320)</f>
        <v>0</v>
      </c>
      <c r="BF114" s="128">
        <f>(((BD114-BE114)/1000)*0.000001)*M$7</f>
        <v>1.6463779999999997E-2</v>
      </c>
      <c r="BG114" s="126" t="s">
        <v>64</v>
      </c>
      <c r="BH114" s="126"/>
      <c r="BI114" s="126"/>
      <c r="BL114" s="126"/>
      <c r="BM114" s="126"/>
    </row>
    <row r="115" spans="6:65" s="123" customFormat="1" ht="21.6" hidden="1" customHeight="1">
      <c r="F115" s="126">
        <v>2</v>
      </c>
      <c r="G115" s="128" t="s">
        <v>106</v>
      </c>
      <c r="H115" s="131">
        <f>IF(I86=2,0.001,IF(I86=3,0.001,IF(I86=4,0.001,IF(I86=5,0.001,IF(I86=6,0.0019,IF(I86=7,0.0019,IF(I86=8,0.0019,IF(I86=9,0.0019,IF(I86=1,0.00151,"")))))))))</f>
        <v>1.5100000000000001E-3</v>
      </c>
      <c r="I115" s="128" t="str">
        <f>IF((J$11=G115),F115,"")</f>
        <v/>
      </c>
      <c r="J115" s="128" t="str">
        <f>IFERROR(SMALL(I$114:I$119,F115),"")</f>
        <v/>
      </c>
      <c r="K115" s="128">
        <f>IF(I86=1, 55.333, IF(I86=2, 64, IF(I86=3, 64, IF(I86=4, 64, IF(I86=5, 55.333, IF(I86=6,55.333, IF(I86=7,55.333, IF(I86=8, 55.333, IF(I86=9, 55.333,"")))))))))</f>
        <v>55.332999999999998</v>
      </c>
      <c r="L115" s="3" t="b">
        <f>IF(J$114=F115,J$13*H115*14415)</f>
        <v>0</v>
      </c>
      <c r="M115" s="3" t="b">
        <f>IF(J$114=F115,J$14*H115*14415)</f>
        <v>0</v>
      </c>
      <c r="N115" s="128">
        <f>(((L115-M115)/1000)*0.000001)*J$7</f>
        <v>0</v>
      </c>
      <c r="O115" s="126" t="s">
        <v>64</v>
      </c>
      <c r="P115" s="126"/>
      <c r="Q115" s="126"/>
      <c r="R115" s="126"/>
      <c r="S115" s="126"/>
      <c r="T115" s="126"/>
      <c r="V115" s="126">
        <v>2</v>
      </c>
      <c r="W115" s="128" t="s">
        <v>106</v>
      </c>
      <c r="X115" s="131">
        <f>IF(Y86=2,0.001,IF(Y86=3,0.001,IF(Y86=4,0.001,IF(Y86=5,0.001,IF(Y86=6,0.0019,IF(Y86=7,0.0019,IF(Y86=8,0.0019,IF(Y86=9,0.0019,IF(Y86=1,0.00151,"")))))))))</f>
        <v>1.5100000000000001E-3</v>
      </c>
      <c r="Y115" s="128" t="str">
        <f t="shared" ref="Y115:Y119" si="39">IF((K$11=W115),V115,"")</f>
        <v/>
      </c>
      <c r="Z115" s="128" t="str">
        <f>IFERROR(SMALL(Y$114:Y$119,V115),"")</f>
        <v/>
      </c>
      <c r="AA115" s="128">
        <f>IF(Y86=1, 55.333, IF(Y86=2, 64, IF(Y86=3, 64, IF(Y86=4, 64, IF(Y86=5, 55.333, IF(Y86=6,55.333, IF(Y86=7,55.333, IF(Y86=8, 55.333, IF(Y86=9, 55.333,"")))))))))</f>
        <v>55.332999999999998</v>
      </c>
      <c r="AB115" s="3" t="b">
        <f>IF(Z$114=V115,K$13*X115*14415)</f>
        <v>0</v>
      </c>
      <c r="AC115" s="3" t="b">
        <f>IF(Z$114=V115,K$14*X115*14415)</f>
        <v>0</v>
      </c>
      <c r="AD115" s="128">
        <f>(((AB115-AC115)/1000)*0.000001)*K$7</f>
        <v>0</v>
      </c>
      <c r="AE115" s="126" t="s">
        <v>64</v>
      </c>
      <c r="AF115" s="126"/>
      <c r="AG115" s="126"/>
      <c r="AH115" s="126"/>
      <c r="AI115" s="126"/>
      <c r="AJ115" s="126">
        <v>2</v>
      </c>
      <c r="AK115" s="128" t="s">
        <v>106</v>
      </c>
      <c r="AL115" s="131">
        <f>IF(AM86=2,0.001,IF(AM86=3,0.001,IF(AM86=4,0.001,IF(AM86=5,0.001,IF(AM86=6,0.0019,IF(AM86=7,0.0019,IF(AM86=8,0.0019,IF(AM86=9,0.0019,IF(AM86=1,0.00151,"")))))))))</f>
        <v>1.5100000000000001E-3</v>
      </c>
      <c r="AM115" s="128" t="str">
        <f t="shared" ref="AM115:AM119" si="40">IF((L$11=AK115),AJ115,"")</f>
        <v/>
      </c>
      <c r="AN115" s="128" t="str">
        <f t="shared" ref="AN115:AN119" si="41">IFERROR(SMALL(AM$114:AM$119,AJ115),"")</f>
        <v/>
      </c>
      <c r="AO115" s="128">
        <f>IF(AM86=1, 55.333, IF(AM86=2, 64, IF(AM86=3, 64, IF(AM86=4, 64, IF(AM86=5, 55.333, IF(AM86=6,55.333, IF(AM86=7,55.333, IF(AM86=8, 55.333, IF(AM86=9, 55.333,"")))))))))</f>
        <v>55.332999999999998</v>
      </c>
      <c r="AP115" s="3" t="b">
        <f>IF(AN$114=AJ115,L$13*AL115*14415)</f>
        <v>0</v>
      </c>
      <c r="AQ115" s="3" t="b">
        <f>IF(AN$114=AJ115,L$14*AL115*14415)</f>
        <v>0</v>
      </c>
      <c r="AR115" s="128">
        <f t="shared" ref="AR115:AR116" si="42">(((AP115-AQ115)/1000)*0.000001)*L$7</f>
        <v>0</v>
      </c>
      <c r="AS115" s="126" t="s">
        <v>64</v>
      </c>
      <c r="AT115" s="126"/>
      <c r="AU115" s="126"/>
      <c r="AV115" s="126"/>
      <c r="AX115" s="126">
        <v>2</v>
      </c>
      <c r="AY115" s="128" t="s">
        <v>106</v>
      </c>
      <c r="AZ115" s="131">
        <f>IF(BA86=2,0.001,IF(BA86=3,0.001,IF(BA86=4,0.001,IF(BA86=5,0.001,IF(BA86=6,0.0019,IF(BA86=7,0.0019,IF(BA86=8,0.0019,IF(BA86=9,0.0019,IF(BA86=1,0.00151,"")))))))))</f>
        <v>1.5100000000000001E-3</v>
      </c>
      <c r="BA115" s="128" t="str">
        <f t="shared" ref="BA115:BA119" si="43">IF((M$11=AY115),AX115,"")</f>
        <v/>
      </c>
      <c r="BB115" s="128" t="str">
        <f t="shared" ref="BB115:BB119" si="44">IFERROR(SMALL(BA$114:BA$119,AX115),"")</f>
        <v/>
      </c>
      <c r="BC115" s="128">
        <f>IF(BA86=1, 55.333, IF(BA86=2, 64, IF(BA86=3, 64, IF(BA86=4, 64, IF(BA86=5, 55.333, IF(BA86=6,55.333, IF(BA86=7,55.333, IF(BA86=8, 55.333, IF(BA86=9, 55.333,"")))))))))</f>
        <v>55.332999999999998</v>
      </c>
      <c r="BD115" s="3" t="b">
        <f>IF(BB$114=AX115,M$13*AZ115*14415)</f>
        <v>0</v>
      </c>
      <c r="BE115" s="3" t="b">
        <f>IF(BB$114=AX115,M$14*AZ115*14415)</f>
        <v>0</v>
      </c>
      <c r="BF115" s="128">
        <f t="shared" ref="BF115:BF116" si="45">(((BD115-BE115)/1000)*0.000001)*M$7</f>
        <v>0</v>
      </c>
      <c r="BG115" s="126" t="s">
        <v>64</v>
      </c>
      <c r="BH115" s="126"/>
      <c r="BI115" s="126"/>
      <c r="BL115" s="126"/>
      <c r="BM115" s="126"/>
    </row>
    <row r="116" spans="6:65" s="123" customFormat="1" hidden="1">
      <c r="F116" s="126">
        <v>3</v>
      </c>
      <c r="G116" s="128" t="s">
        <v>65</v>
      </c>
      <c r="H116" s="131">
        <f>IF(N86=2, 0.088, IF(N86=3, 0.1007, IF(N86=4, 0.0338, IF(N86=5, 0.0338, IF(N86=6, 0.0338, IF(N86=7, 0.0338, IF(N86=1, 0.0539, "")))))))</f>
        <v>5.3900000000000003E-2</v>
      </c>
      <c r="I116" s="128" t="str">
        <f>IF((J$11=G116),F116,"")</f>
        <v/>
      </c>
      <c r="J116" s="128" t="str">
        <f t="shared" ref="J116:J119" si="46">IFERROR(SMALL(I$114:I$119,F116),"")</f>
        <v/>
      </c>
      <c r="K116" s="128">
        <f>57</f>
        <v>57</v>
      </c>
      <c r="L116" s="3" t="b">
        <f>IF(J$114=F116,J$13*H116*12310)</f>
        <v>0</v>
      </c>
      <c r="M116" s="3" t="b">
        <f>IF(J$114=F116,J$14*H116*12310)</f>
        <v>0</v>
      </c>
      <c r="N116" s="128">
        <f>(((L116-M116)/1000)*0.000001)*J$7</f>
        <v>0</v>
      </c>
      <c r="O116" s="126" t="s">
        <v>64</v>
      </c>
      <c r="P116" s="126"/>
      <c r="Q116" s="126"/>
      <c r="R116" s="126"/>
      <c r="S116" s="126"/>
      <c r="T116" s="126"/>
      <c r="V116" s="126">
        <v>3</v>
      </c>
      <c r="W116" s="128" t="s">
        <v>65</v>
      </c>
      <c r="X116" s="131">
        <f>IF(AD86=2, 0.088, IF(AD86=3, 0.1007, IF(AD86=4, 0.0338, IF(AD86=5, 0.0338, IF(AD86=6, 0.0338, IF(AD86=7, 0.0338, IF(AD86=1, 0.0539, "")))))))</f>
        <v>5.3900000000000003E-2</v>
      </c>
      <c r="Y116" s="128" t="str">
        <f t="shared" si="39"/>
        <v/>
      </c>
      <c r="Z116" s="128" t="str">
        <f t="shared" ref="Z116:Z119" si="47">IFERROR(SMALL(Y$114:Y$119,V116),"")</f>
        <v/>
      </c>
      <c r="AA116" s="128">
        <f>57</f>
        <v>57</v>
      </c>
      <c r="AB116" s="3" t="b">
        <f>IF(Z$114=V116,K$13*X116*12310)</f>
        <v>0</v>
      </c>
      <c r="AC116" s="3" t="b">
        <f>IF(Z$114=V116,K$14*X116*12310)</f>
        <v>0</v>
      </c>
      <c r="AD116" s="128">
        <f>(((AB116-AC116)/1000)*0.000001)*K$7</f>
        <v>0</v>
      </c>
      <c r="AE116" s="126" t="s">
        <v>64</v>
      </c>
      <c r="AF116" s="126"/>
      <c r="AG116" s="126"/>
      <c r="AH116" s="126"/>
      <c r="AI116" s="126"/>
      <c r="AJ116" s="126">
        <v>3</v>
      </c>
      <c r="AK116" s="128" t="s">
        <v>65</v>
      </c>
      <c r="AL116" s="131">
        <f>IF(AR86=2, 0.088, IF(AR86=3, 0.1007, IF(AR86=4, 0.0338, IF(AR86=5, 0.0338, IF(AR86=6, 0.0338, IF(AR86=7, 0.0338, IF(AR86=1, 0.0539, "")))))))</f>
        <v>5.3900000000000003E-2</v>
      </c>
      <c r="AM116" s="128" t="str">
        <f t="shared" si="40"/>
        <v/>
      </c>
      <c r="AN116" s="128" t="str">
        <f t="shared" si="41"/>
        <v/>
      </c>
      <c r="AO116" s="128">
        <f>57</f>
        <v>57</v>
      </c>
      <c r="AP116" s="3" t="b">
        <f>IF(AN$114=AJ116,L$13*AL116*12310)</f>
        <v>0</v>
      </c>
      <c r="AQ116" s="3" t="b">
        <f>IF(AN$114=AJ116,L$14*AL116*12310)</f>
        <v>0</v>
      </c>
      <c r="AR116" s="128">
        <f t="shared" si="42"/>
        <v>0</v>
      </c>
      <c r="AS116" s="126" t="s">
        <v>64</v>
      </c>
      <c r="AT116" s="126"/>
      <c r="AU116" s="126"/>
      <c r="AV116" s="126"/>
      <c r="AX116" s="126">
        <v>3</v>
      </c>
      <c r="AY116" s="128" t="s">
        <v>65</v>
      </c>
      <c r="AZ116" s="131">
        <f>IF(BF86=2, 0.088, IF(BF86=3, 0.1007, IF(BF86=4, 0.0338, IF(BF86=5, 0.0338, IF(BF86=6, 0.0338, IF(BF86=7, 0.0338, IF(BF86=1, 0.0539, "")))))))</f>
        <v>5.3900000000000003E-2</v>
      </c>
      <c r="BA116" s="128" t="str">
        <f t="shared" si="43"/>
        <v/>
      </c>
      <c r="BB116" s="128" t="str">
        <f t="shared" si="44"/>
        <v/>
      </c>
      <c r="BC116" s="128">
        <f>57</f>
        <v>57</v>
      </c>
      <c r="BD116" s="3" t="b">
        <f>IF(BB$114=AX116,M$13*AZ116*12310)</f>
        <v>0</v>
      </c>
      <c r="BE116" s="3" t="b">
        <f>IF(BB$114=AX116,M$14*AZ116*12310)</f>
        <v>0</v>
      </c>
      <c r="BF116" s="128">
        <f t="shared" si="45"/>
        <v>0</v>
      </c>
      <c r="BG116" s="126" t="s">
        <v>64</v>
      </c>
      <c r="BH116" s="126"/>
      <c r="BI116" s="126"/>
      <c r="BL116" s="126"/>
      <c r="BM116" s="126"/>
    </row>
    <row r="117" spans="6:65" s="123" customFormat="1" hidden="1">
      <c r="F117" s="126">
        <v>5</v>
      </c>
      <c r="G117" s="128" t="s">
        <v>66</v>
      </c>
      <c r="H117" s="128">
        <v>2.8299999999999999E-2</v>
      </c>
      <c r="I117" s="128" t="str">
        <f>IF((Q$11=G117),F117,"")</f>
        <v/>
      </c>
      <c r="J117" s="128" t="str">
        <f t="shared" si="46"/>
        <v/>
      </c>
      <c r="K117" s="128">
        <f>39.57</f>
        <v>39.57</v>
      </c>
      <c r="L117" s="128" t="b">
        <f>IF(J$119=F117,J$13*(K117*H117))</f>
        <v>0</v>
      </c>
      <c r="M117" s="128" t="b">
        <f>IF(J$119=F117,J$14*(K117*H117))</f>
        <v>0</v>
      </c>
      <c r="N117" s="128">
        <f>L117-M117</f>
        <v>0</v>
      </c>
      <c r="O117" s="126"/>
      <c r="P117" s="126"/>
      <c r="Q117" s="126"/>
      <c r="R117" s="126"/>
      <c r="S117" s="126"/>
      <c r="T117" s="126"/>
      <c r="V117" s="126">
        <v>5</v>
      </c>
      <c r="W117" s="128" t="s">
        <v>66</v>
      </c>
      <c r="X117" s="128">
        <v>2.8299999999999999E-2</v>
      </c>
      <c r="Y117" s="128" t="str">
        <f t="shared" si="39"/>
        <v/>
      </c>
      <c r="Z117" s="128" t="str">
        <f>IFERROR(SMALL(Y$114:Y$119,V117),"")</f>
        <v/>
      </c>
      <c r="AA117" s="128">
        <f>39.57</f>
        <v>39.57</v>
      </c>
      <c r="AB117" s="128" t="b">
        <f>IF(Z$119=V117,Z$13*(AA117*X117))</f>
        <v>0</v>
      </c>
      <c r="AC117" s="128" t="b">
        <f>IF(Z$119=V117,Z$14*(AA117*X117))</f>
        <v>0</v>
      </c>
      <c r="AD117" s="128">
        <f>AB117-AC117</f>
        <v>0</v>
      </c>
      <c r="AE117" s="126"/>
      <c r="AF117" s="126"/>
      <c r="AG117" s="126"/>
      <c r="AH117" s="126"/>
      <c r="AI117" s="126"/>
      <c r="AJ117" s="126">
        <v>5</v>
      </c>
      <c r="AK117" s="128" t="s">
        <v>66</v>
      </c>
      <c r="AL117" s="128">
        <v>2.8299999999999999E-2</v>
      </c>
      <c r="AM117" s="128" t="str">
        <f t="shared" si="40"/>
        <v/>
      </c>
      <c r="AN117" s="128" t="str">
        <f t="shared" si="41"/>
        <v/>
      </c>
      <c r="AO117" s="128">
        <f>39.57</f>
        <v>39.57</v>
      </c>
      <c r="AP117" s="128" t="b">
        <f>IF(AN$119=AJ117,AN$13*(AO117*AL117))</f>
        <v>0</v>
      </c>
      <c r="AQ117" s="128" t="b">
        <f>IF(AN$119=AJ117,AN$14*(AO117*AL117))</f>
        <v>0</v>
      </c>
      <c r="AR117" s="128">
        <f>AP117-AQ117</f>
        <v>0</v>
      </c>
      <c r="AS117" s="126"/>
      <c r="AT117" s="126"/>
      <c r="AU117" s="126"/>
      <c r="AV117" s="126"/>
      <c r="AX117" s="126">
        <v>5</v>
      </c>
      <c r="AY117" s="128" t="s">
        <v>66</v>
      </c>
      <c r="AZ117" s="128">
        <v>2.8299999999999999E-2</v>
      </c>
      <c r="BA117" s="128" t="str">
        <f t="shared" si="43"/>
        <v/>
      </c>
      <c r="BB117" s="128" t="str">
        <f t="shared" si="44"/>
        <v/>
      </c>
      <c r="BC117" s="128">
        <f>39.57</f>
        <v>39.57</v>
      </c>
      <c r="BD117" s="128" t="b">
        <f>IF(BB$119=AX117,BB$13*(BC117*AZ117))</f>
        <v>0</v>
      </c>
      <c r="BE117" s="128" t="b">
        <f>IF(BB$119=AX117,BB$14*(BC117*AZ117))</f>
        <v>0</v>
      </c>
      <c r="BF117" s="128">
        <f>BD117-BE117</f>
        <v>0</v>
      </c>
      <c r="BG117" s="126"/>
      <c r="BH117" s="126"/>
      <c r="BI117" s="126"/>
      <c r="BL117" s="126"/>
      <c r="BM117" s="126"/>
    </row>
    <row r="118" spans="6:65" s="123" customFormat="1" hidden="1">
      <c r="F118" s="126">
        <v>6</v>
      </c>
      <c r="G118" s="128" t="s">
        <v>67</v>
      </c>
      <c r="H118" s="128">
        <v>3.3799999999999997E-2</v>
      </c>
      <c r="I118" s="128" t="str">
        <f>IF((Q$11=G118),F118,"")</f>
        <v/>
      </c>
      <c r="J118" s="128" t="str">
        <f t="shared" si="46"/>
        <v/>
      </c>
      <c r="K118" s="128">
        <f>87</f>
        <v>87</v>
      </c>
      <c r="L118" s="128" t="b">
        <f>IF(J$119=F118,J$13*(K118*H118))</f>
        <v>0</v>
      </c>
      <c r="M118" s="128" t="b">
        <f>IF(J$119=F118,J$14*(K118*H118))</f>
        <v>0</v>
      </c>
      <c r="N118" s="128">
        <f>L118-M118</f>
        <v>0</v>
      </c>
      <c r="O118" s="126"/>
      <c r="P118" s="126"/>
      <c r="Q118" s="126"/>
      <c r="R118" s="126"/>
      <c r="S118" s="126"/>
      <c r="T118" s="126"/>
      <c r="V118" s="126">
        <v>6</v>
      </c>
      <c r="W118" s="128" t="s">
        <v>67</v>
      </c>
      <c r="X118" s="128">
        <v>3.3799999999999997E-2</v>
      </c>
      <c r="Y118" s="128" t="str">
        <f t="shared" si="39"/>
        <v/>
      </c>
      <c r="Z118" s="128" t="str">
        <f t="shared" si="47"/>
        <v/>
      </c>
      <c r="AA118" s="128">
        <f>87</f>
        <v>87</v>
      </c>
      <c r="AB118" s="128" t="b">
        <f>IF(Z$119=V118,Z$13*(AA118*X118))</f>
        <v>0</v>
      </c>
      <c r="AC118" s="128" t="b">
        <f>IF(Z$119=V118,Z$14*(AA118*X118))</f>
        <v>0</v>
      </c>
      <c r="AD118" s="128">
        <f>AB118-AC118</f>
        <v>0</v>
      </c>
      <c r="AE118" s="126"/>
      <c r="AF118" s="126"/>
      <c r="AG118" s="126"/>
      <c r="AH118" s="126"/>
      <c r="AI118" s="126"/>
      <c r="AJ118" s="126">
        <v>6</v>
      </c>
      <c r="AK118" s="128" t="s">
        <v>67</v>
      </c>
      <c r="AL118" s="128">
        <v>3.3799999999999997E-2</v>
      </c>
      <c r="AM118" s="128" t="str">
        <f t="shared" si="40"/>
        <v/>
      </c>
      <c r="AN118" s="128" t="str">
        <f t="shared" si="41"/>
        <v/>
      </c>
      <c r="AO118" s="128">
        <f>87</f>
        <v>87</v>
      </c>
      <c r="AP118" s="128" t="b">
        <f>IF(AN$119=AJ118,AN$13*(AO118*AL118))</f>
        <v>0</v>
      </c>
      <c r="AQ118" s="128" t="b">
        <f>IF(AN$119=AJ118,AN$14*(AO118*AL118))</f>
        <v>0</v>
      </c>
      <c r="AR118" s="128">
        <f>AP118-AQ118</f>
        <v>0</v>
      </c>
      <c r="AS118" s="126"/>
      <c r="AT118" s="126"/>
      <c r="AU118" s="126"/>
      <c r="AV118" s="126"/>
      <c r="AX118" s="126">
        <v>6</v>
      </c>
      <c r="AY118" s="128" t="s">
        <v>67</v>
      </c>
      <c r="AZ118" s="128">
        <v>3.3799999999999997E-2</v>
      </c>
      <c r="BA118" s="128" t="str">
        <f t="shared" si="43"/>
        <v/>
      </c>
      <c r="BB118" s="128" t="str">
        <f t="shared" si="44"/>
        <v/>
      </c>
      <c r="BC118" s="128">
        <f>87</f>
        <v>87</v>
      </c>
      <c r="BD118" s="128" t="b">
        <f>IF(BB$119=AX118,BB$13*(BC118*AZ118))</f>
        <v>0</v>
      </c>
      <c r="BE118" s="128" t="b">
        <f>IF(BB$119=AX118,BB$14*(BC118*AZ118))</f>
        <v>0</v>
      </c>
      <c r="BF118" s="128">
        <f>BD118-BE118</f>
        <v>0</v>
      </c>
      <c r="BG118" s="126"/>
      <c r="BH118" s="126"/>
      <c r="BI118" s="126"/>
      <c r="BL118" s="126"/>
      <c r="BM118" s="126"/>
    </row>
    <row r="119" spans="6:65" s="123" customFormat="1" hidden="1">
      <c r="F119" s="126">
        <v>7</v>
      </c>
      <c r="G119" s="128" t="s">
        <v>68</v>
      </c>
      <c r="H119" s="128">
        <v>3.39E-2</v>
      </c>
      <c r="I119" s="128" t="str">
        <f>IF((Q$11=G119),F119,"")</f>
        <v/>
      </c>
      <c r="J119" s="128" t="str">
        <f t="shared" si="46"/>
        <v/>
      </c>
      <c r="K119" s="128">
        <f>63</f>
        <v>63</v>
      </c>
      <c r="L119" s="128" t="b">
        <f>IF(J$119=F119,J$13*(K119*H119))</f>
        <v>0</v>
      </c>
      <c r="M119" s="128" t="b">
        <f>IF(J$119=F119,J$14*(K119*H119))</f>
        <v>0</v>
      </c>
      <c r="N119" s="128">
        <f>L119-M119</f>
        <v>0</v>
      </c>
      <c r="O119" s="126"/>
      <c r="P119" s="126"/>
      <c r="Q119" s="126"/>
      <c r="R119" s="126"/>
      <c r="S119" s="126"/>
      <c r="T119" s="126"/>
      <c r="V119" s="126">
        <v>7</v>
      </c>
      <c r="W119" s="128" t="s">
        <v>68</v>
      </c>
      <c r="X119" s="128">
        <v>3.39E-2</v>
      </c>
      <c r="Y119" s="128" t="str">
        <f t="shared" si="39"/>
        <v/>
      </c>
      <c r="Z119" s="128" t="str">
        <f t="shared" si="47"/>
        <v/>
      </c>
      <c r="AA119" s="128">
        <f>63</f>
        <v>63</v>
      </c>
      <c r="AB119" s="128" t="b">
        <f>IF(Z$119=V119,Z$13*(AA119*X119))</f>
        <v>0</v>
      </c>
      <c r="AC119" s="128" t="b">
        <f>IF(Z$119=V119,Z$14*(AA119*X119))</f>
        <v>0</v>
      </c>
      <c r="AD119" s="128">
        <f>AB119-AC119</f>
        <v>0</v>
      </c>
      <c r="AE119" s="126"/>
      <c r="AF119" s="126"/>
      <c r="AG119" s="126"/>
      <c r="AH119" s="126"/>
      <c r="AI119" s="126"/>
      <c r="AJ119" s="126">
        <v>7</v>
      </c>
      <c r="AK119" s="128" t="s">
        <v>68</v>
      </c>
      <c r="AL119" s="128">
        <v>3.39E-2</v>
      </c>
      <c r="AM119" s="128" t="str">
        <f t="shared" si="40"/>
        <v/>
      </c>
      <c r="AN119" s="128" t="str">
        <f t="shared" si="41"/>
        <v/>
      </c>
      <c r="AO119" s="128">
        <f>63</f>
        <v>63</v>
      </c>
      <c r="AP119" s="128" t="b">
        <f>IF(AN$119=AJ119,AN$13*(AO119*AL119))</f>
        <v>0</v>
      </c>
      <c r="AQ119" s="128" t="b">
        <f>IF(AN$119=AJ119,AN$14*(AO119*AL119))</f>
        <v>0</v>
      </c>
      <c r="AR119" s="128">
        <f>AP119-AQ119</f>
        <v>0</v>
      </c>
      <c r="AS119" s="126"/>
      <c r="AT119" s="126"/>
      <c r="AU119" s="126"/>
      <c r="AV119" s="126"/>
      <c r="AX119" s="126">
        <v>7</v>
      </c>
      <c r="AY119" s="128" t="s">
        <v>68</v>
      </c>
      <c r="AZ119" s="128">
        <v>3.39E-2</v>
      </c>
      <c r="BA119" s="128" t="str">
        <f t="shared" si="43"/>
        <v/>
      </c>
      <c r="BB119" s="128" t="str">
        <f t="shared" si="44"/>
        <v/>
      </c>
      <c r="BC119" s="128">
        <f>63</f>
        <v>63</v>
      </c>
      <c r="BD119" s="128" t="b">
        <f>IF(BB$119=AX119,BB$13*(BC119*AZ119))</f>
        <v>0</v>
      </c>
      <c r="BE119" s="128" t="b">
        <f>IF(BB$119=AX119,BB$14*(BC119*AZ119))</f>
        <v>0</v>
      </c>
      <c r="BF119" s="128">
        <f>BD119-BE119</f>
        <v>0</v>
      </c>
      <c r="BG119" s="126"/>
      <c r="BH119" s="126"/>
      <c r="BI119" s="126"/>
      <c r="BL119" s="126"/>
      <c r="BM119" s="126"/>
    </row>
    <row r="120" spans="6:65" s="122" customFormat="1" ht="15.75" hidden="1" thickBot="1">
      <c r="F120" s="11"/>
      <c r="G120" s="7"/>
      <c r="H120" s="7"/>
      <c r="I120" s="7"/>
      <c r="J120" s="7"/>
      <c r="K120" s="7"/>
      <c r="L120" s="7"/>
      <c r="M120" s="7"/>
      <c r="N120" s="7"/>
      <c r="O120" s="2"/>
      <c r="P120" s="121"/>
      <c r="Q120" s="121"/>
      <c r="R120" s="121"/>
      <c r="S120" s="121"/>
      <c r="T120" s="121"/>
      <c r="V120" s="121"/>
      <c r="W120" s="121"/>
      <c r="X120" s="121"/>
      <c r="Y120" s="121"/>
      <c r="Z120" s="121"/>
      <c r="AA120" s="121"/>
      <c r="AB120" s="121"/>
      <c r="AC120" s="121"/>
      <c r="AD120" s="121"/>
      <c r="AE120" s="121"/>
      <c r="AF120" s="121"/>
      <c r="AG120" s="121"/>
      <c r="AH120" s="121"/>
      <c r="AI120" s="121"/>
      <c r="AJ120" s="121"/>
      <c r="AK120" s="121"/>
      <c r="AL120" s="121"/>
      <c r="AM120" s="121"/>
      <c r="AN120" s="121"/>
      <c r="AO120" s="121"/>
      <c r="AP120" s="121"/>
      <c r="AQ120" s="121"/>
      <c r="AR120" s="121"/>
      <c r="AS120" s="121"/>
      <c r="AT120" s="121"/>
      <c r="AU120" s="121"/>
      <c r="AV120" s="121"/>
      <c r="AX120" s="121"/>
      <c r="AY120" s="121"/>
      <c r="AZ120" s="121"/>
      <c r="BA120" s="121"/>
      <c r="BB120" s="121"/>
      <c r="BC120" s="121"/>
      <c r="BD120" s="121"/>
      <c r="BE120" s="121"/>
      <c r="BF120" s="121"/>
      <c r="BG120" s="121"/>
      <c r="BH120" s="121"/>
      <c r="BI120" s="121"/>
      <c r="BL120" s="121"/>
      <c r="BM120" s="121"/>
    </row>
    <row r="121" spans="6:65" ht="15.75" hidden="1" thickTop="1">
      <c r="F121" s="2"/>
      <c r="G121" s="2"/>
      <c r="H121" s="2" t="s">
        <v>55</v>
      </c>
      <c r="I121" s="2"/>
      <c r="J121" s="2"/>
      <c r="K121" s="2"/>
      <c r="L121" s="2"/>
      <c r="M121" s="2"/>
      <c r="N121" s="2"/>
      <c r="O121" s="2"/>
      <c r="P121" s="2"/>
      <c r="Q121" s="2"/>
      <c r="R121" s="2"/>
      <c r="S121" s="2"/>
      <c r="T121" s="2"/>
      <c r="V121" s="2"/>
      <c r="W121" s="2"/>
      <c r="X121" s="2" t="s">
        <v>55</v>
      </c>
      <c r="Y121" s="2"/>
      <c r="Z121" s="2"/>
      <c r="AA121" s="2"/>
      <c r="AB121" s="2"/>
      <c r="AC121" s="2"/>
      <c r="AD121" s="2"/>
      <c r="AE121" s="2"/>
      <c r="AF121" s="2"/>
      <c r="AG121" s="2"/>
      <c r="AH121" s="2"/>
      <c r="AI121" s="2"/>
      <c r="AJ121" s="2"/>
      <c r="AK121" s="2"/>
      <c r="AL121" s="2" t="s">
        <v>55</v>
      </c>
      <c r="AM121" s="2"/>
      <c r="AN121" s="2"/>
      <c r="AO121" s="2"/>
      <c r="AP121" s="2"/>
      <c r="AQ121" s="2"/>
      <c r="AR121" s="2"/>
      <c r="AS121" s="2"/>
      <c r="AT121" s="2"/>
      <c r="AU121" s="2"/>
      <c r="AV121" s="2"/>
      <c r="AX121" s="2"/>
      <c r="AY121" s="2"/>
      <c r="AZ121" s="2" t="s">
        <v>55</v>
      </c>
      <c r="BA121" s="2"/>
      <c r="BB121" s="2"/>
      <c r="BC121" s="2"/>
      <c r="BD121" s="2"/>
      <c r="BE121" s="2"/>
      <c r="BF121" s="2"/>
      <c r="BG121" s="2"/>
      <c r="BH121" s="2"/>
      <c r="BI121" s="2"/>
      <c r="BL121" s="2"/>
      <c r="BM121" s="2"/>
    </row>
    <row r="122" spans="6:65" hidden="1">
      <c r="F122" s="2"/>
      <c r="G122" s="12" t="s">
        <v>56</v>
      </c>
      <c r="H122" s="12" t="s">
        <v>69</v>
      </c>
      <c r="I122" s="2" t="s">
        <v>58</v>
      </c>
      <c r="J122" s="2" t="s">
        <v>58</v>
      </c>
      <c r="K122" s="12" t="s">
        <v>59</v>
      </c>
      <c r="L122" s="2" t="s">
        <v>60</v>
      </c>
      <c r="M122" s="2" t="s">
        <v>61</v>
      </c>
      <c r="N122" s="2" t="s">
        <v>62</v>
      </c>
      <c r="O122" s="2"/>
      <c r="P122" s="2"/>
      <c r="Q122" s="2"/>
      <c r="R122" s="2"/>
      <c r="S122" s="2"/>
      <c r="T122" s="2"/>
      <c r="V122" s="2"/>
      <c r="W122" s="12" t="s">
        <v>56</v>
      </c>
      <c r="X122" s="12" t="s">
        <v>69</v>
      </c>
      <c r="Y122" s="2" t="s">
        <v>58</v>
      </c>
      <c r="Z122" s="2" t="s">
        <v>58</v>
      </c>
      <c r="AA122" s="12" t="s">
        <v>59</v>
      </c>
      <c r="AB122" s="2" t="s">
        <v>60</v>
      </c>
      <c r="AC122" s="2" t="s">
        <v>61</v>
      </c>
      <c r="AD122" s="2" t="s">
        <v>62</v>
      </c>
      <c r="AE122" s="2"/>
      <c r="AF122" s="2"/>
      <c r="AG122" s="2"/>
      <c r="AH122" s="2"/>
      <c r="AI122" s="2"/>
      <c r="AJ122" s="2"/>
      <c r="AK122" s="12" t="s">
        <v>56</v>
      </c>
      <c r="AL122" s="12" t="s">
        <v>69</v>
      </c>
      <c r="AM122" s="2" t="s">
        <v>58</v>
      </c>
      <c r="AN122" s="2" t="s">
        <v>58</v>
      </c>
      <c r="AO122" s="12" t="s">
        <v>59</v>
      </c>
      <c r="AP122" s="2" t="s">
        <v>60</v>
      </c>
      <c r="AQ122" s="2" t="s">
        <v>61</v>
      </c>
      <c r="AR122" s="2" t="s">
        <v>62</v>
      </c>
      <c r="AS122" s="2"/>
      <c r="AT122" s="2"/>
      <c r="AU122" s="2"/>
      <c r="AV122" s="2"/>
      <c r="AX122" s="2"/>
      <c r="AY122" s="12" t="s">
        <v>56</v>
      </c>
      <c r="AZ122" s="12" t="s">
        <v>69</v>
      </c>
      <c r="BA122" s="2" t="s">
        <v>58</v>
      </c>
      <c r="BB122" s="2" t="s">
        <v>58</v>
      </c>
      <c r="BC122" s="12" t="s">
        <v>59</v>
      </c>
      <c r="BD122" s="2" t="s">
        <v>60</v>
      </c>
      <c r="BE122" s="2" t="s">
        <v>61</v>
      </c>
      <c r="BF122" s="2" t="s">
        <v>62</v>
      </c>
      <c r="BG122" s="2"/>
      <c r="BH122" s="2"/>
      <c r="BI122" s="2"/>
      <c r="BL122" s="2"/>
      <c r="BM122" s="2"/>
    </row>
    <row r="123" spans="6:65" hidden="1">
      <c r="F123" s="2">
        <v>1</v>
      </c>
      <c r="G123" s="3" t="s">
        <v>63</v>
      </c>
      <c r="H123" s="3">
        <f>IF(I75=2, 0.4756, IF(I75=3, 0.2176, IF(I75=4, 0.0986, IF(I75=5, 0.0522, IF(I75=6, 0.0522, IF(I75= 7, 0.0522, IF(I75=8, 0.0522, IF(I75=9, 0.0522, IF(I75=1, 0.11796, "")))))))))</f>
        <v>0.47560000000000002</v>
      </c>
      <c r="I123" s="3" t="str">
        <f>IF((J$9=G123),F123,"")</f>
        <v/>
      </c>
      <c r="J123" s="3">
        <f>IFERROR(SMALL(I$123:I$128,F123),"")</f>
        <v>2</v>
      </c>
      <c r="K123" s="3">
        <f>IF(I75=1, 64.25, IF(I75=2, 69.333, IF(I75=3, 69.333, IF(I75=4, 69.333, IF(I75=5, 64.25, IF(I75=6,64.25, IF(I75=7,64.25, IF(I75=8, 64.25, IF(I75=9, 64.25,"")))))))))</f>
        <v>69.332999999999998</v>
      </c>
      <c r="L123" s="3" t="b">
        <f>IF(J$123=F123,J$13*H123*9320)</f>
        <v>0</v>
      </c>
      <c r="M123" s="3" t="b">
        <f>IF(J$123=F123,J$14*H123*9320)</f>
        <v>0</v>
      </c>
      <c r="N123" s="3">
        <f>(((L123-M123)/1000)*0.000001)*J$7</f>
        <v>0</v>
      </c>
      <c r="O123" s="2" t="s">
        <v>64</v>
      </c>
      <c r="P123" s="2"/>
      <c r="Q123" s="2"/>
      <c r="R123" s="2"/>
      <c r="S123" s="2"/>
      <c r="T123" s="2"/>
      <c r="V123" s="2">
        <v>1</v>
      </c>
      <c r="W123" s="3" t="s">
        <v>63</v>
      </c>
      <c r="X123" s="3">
        <f>IF(Y75=2, 0.4756, IF(Y75=3, 0.2176, IF(Y75=4, 0.0986, IF(Y75=5, 0.0522, IF(Y75=6, 0.0522, IF(Y75= 7, 0.0522, IF(Y75=8, 0.0522, IF(Y75=9, 0.0522, IF(Y75=1, 0.11796, "")))))))))</f>
        <v>0.47560000000000002</v>
      </c>
      <c r="Y123" s="3" t="str">
        <f>IF((K$9=W123),V123,"")</f>
        <v/>
      </c>
      <c r="Z123" s="3">
        <f>IFERROR(SMALL(Y$123:Y$128,V123),"")</f>
        <v>2</v>
      </c>
      <c r="AA123" s="3">
        <f>IF(Y75=1, 64.25, IF(Y75=2, 69.333, IF(Y75=3, 69.333, IF(Y75=4, 69.333, IF(Y75=5, 64.25, IF(Y75=6,64.25, IF(Y75=7,64.25, IF(Y75=8, 64.25, IF(Y75=9, 64.25,"")))))))))</f>
        <v>69.332999999999998</v>
      </c>
      <c r="AB123" s="3" t="b">
        <f>IF(Z$123=V123,K$13*X123*9320)</f>
        <v>0</v>
      </c>
      <c r="AC123" s="3" t="b">
        <f>IF(Z$123=V123,K$14*X123*9320)</f>
        <v>0</v>
      </c>
      <c r="AD123" s="3">
        <f>(((AB123-AC123)/1000)*0.000001)*K$7</f>
        <v>0</v>
      </c>
      <c r="AE123" s="2" t="s">
        <v>64</v>
      </c>
      <c r="AF123" s="2"/>
      <c r="AG123" s="2"/>
      <c r="AH123" s="2"/>
      <c r="AI123" s="2"/>
      <c r="AJ123" s="2">
        <v>1</v>
      </c>
      <c r="AK123" s="3" t="s">
        <v>63</v>
      </c>
      <c r="AL123" s="3">
        <f>IF(AM75=2, 0.4756, IF(AM75=3, 0.2176, IF(AM75=4, 0.0986, IF(AM75=5, 0.0522, IF(AM75=6, 0.0522, IF(AM75= 7, 0.0522, IF(AM75=8, 0.0522, IF(AM75=9, 0.0522, IF(AM75=1, 0.11796, "")))))))))</f>
        <v>0.47560000000000002</v>
      </c>
      <c r="AM123" s="3" t="str">
        <f>IF((L$9=AK123),AJ123,"")</f>
        <v/>
      </c>
      <c r="AN123" s="3">
        <f>IFERROR(SMALL(AM$123:AM$128,AJ123),"")</f>
        <v>2</v>
      </c>
      <c r="AO123" s="3">
        <f>IF(AM75=1, 64.25, IF(AM75=2, 69.333, IF(AM75=3, 69.333, IF(AM75=4, 69.333, IF(AM75=5, 64.25, IF(AM75=6,64.25, IF(AM75=7,64.25, IF(AM75=8, 64.25, IF(AM75=9, 64.25,"")))))))))</f>
        <v>69.332999999999998</v>
      </c>
      <c r="AP123" s="3" t="b">
        <f>IF(AN$123=AJ123,L$13*AL123*9320)</f>
        <v>0</v>
      </c>
      <c r="AQ123" s="3" t="b">
        <f>IF(AN$123=AJ123,L$14*AL123*9320)</f>
        <v>0</v>
      </c>
      <c r="AR123" s="3">
        <f>(((AP123-AQ123)/1000)*0.000001)*L$7</f>
        <v>0</v>
      </c>
      <c r="AS123" s="2" t="s">
        <v>64</v>
      </c>
      <c r="AT123" s="2"/>
      <c r="AU123" s="2"/>
      <c r="AV123" s="2"/>
      <c r="AX123" s="2">
        <v>1</v>
      </c>
      <c r="AY123" s="3" t="s">
        <v>63</v>
      </c>
      <c r="AZ123" s="3">
        <f>IF(BA75=2, 0.4756, IF(BA75=3, 0.2176, IF(BA75=4, 0.0986, IF(BA75=5, 0.0522, IF(BA75=6, 0.0522, IF(BA75= 7, 0.0522, IF(BA75=8, 0.0522, IF(BA75=9, 0.0522, IF(BA75=1, 0.11796, "")))))))))</f>
        <v>0.47560000000000002</v>
      </c>
      <c r="BA123" s="3" t="str">
        <f>IF((M$9=AY123),AX123,"")</f>
        <v/>
      </c>
      <c r="BB123" s="3">
        <f>IFERROR(SMALL(BA$123:BA$128,AX123),"")</f>
        <v>2</v>
      </c>
      <c r="BC123" s="3">
        <f>IF(BA75=1, 64.25, IF(BA75=2, 69.333, IF(BA75=3, 69.333, IF(BA75=4, 69.333, IF(BA75=5, 64.25, IF(BA75=6,64.25, IF(BA75=7,64.25, IF(BA75=8, 64.25, IF(BA75=9, 64.25,"")))))))))</f>
        <v>69.332999999999998</v>
      </c>
      <c r="BD123" s="3" t="b">
        <f>IF(BB$123=AX123,M$13*AZ123*9320)</f>
        <v>0</v>
      </c>
      <c r="BE123" s="3" t="b">
        <f>IF(BB$123=AX123,M$14*AZ123*9320)</f>
        <v>0</v>
      </c>
      <c r="BF123" s="3">
        <f>(((BD123-BE123)/1000)*0.000001)*M$7</f>
        <v>0</v>
      </c>
      <c r="BG123" s="2" t="s">
        <v>64</v>
      </c>
      <c r="BH123" s="2"/>
      <c r="BI123" s="2"/>
      <c r="BL123" s="2"/>
      <c r="BM123" s="2"/>
    </row>
    <row r="124" spans="6:65" hidden="1">
      <c r="F124" s="2">
        <v>2</v>
      </c>
      <c r="G124" s="3" t="s">
        <v>106</v>
      </c>
      <c r="H124" s="3">
        <f>IF(I75=2, 0.0585, IF(I75=3, 0.0675, IF(I75=4, 0.1185, IF(I75=5, 0.014, IF(I75=6, 0.0086, IF(I75=7, 0.026, IF(I75=8, 0.026, IF(I75=9, 0.026, IF(I75=1, 0.021,"")))))))))</f>
        <v>5.8500000000000003E-2</v>
      </c>
      <c r="I124" s="3">
        <f t="shared" ref="I124:I125" si="48">IF((J$9=G124),F124,"")</f>
        <v>2</v>
      </c>
      <c r="J124" s="3" t="str">
        <f>IFERROR(SMALL(I$123:I$128,F124),"")</f>
        <v/>
      </c>
      <c r="K124" s="3">
        <f>IF(I75=1, 55.333, IF(I75=2, 64, IF(I75=3, 64, IF(I75=4, 64, IF(I75=5, 55.333, IF(I75=6,55.333, IF(I75=7,55.333, IF(I75=8, 55.333, IF(I75=9, 55.333,"")))))))))</f>
        <v>64</v>
      </c>
      <c r="L124" s="3">
        <f>IF(J$123=F124,J$13*H124*14415)</f>
        <v>42163875</v>
      </c>
      <c r="M124" s="3">
        <f>IF(J$123=F124,J$14*H124*14415)</f>
        <v>0</v>
      </c>
      <c r="N124" s="3">
        <f>(((L124-M124)/1000)*0.000001)*J$7</f>
        <v>4.2163874999999996E-2</v>
      </c>
      <c r="O124" s="2" t="s">
        <v>64</v>
      </c>
      <c r="P124" s="2"/>
      <c r="Q124" s="2"/>
      <c r="R124" s="2"/>
      <c r="S124" s="2"/>
      <c r="T124" s="2"/>
      <c r="V124" s="2">
        <v>2</v>
      </c>
      <c r="W124" s="3" t="s">
        <v>106</v>
      </c>
      <c r="X124" s="3">
        <f>IF(Y75=2, 0.0585, IF(Y75=3, 0.0675, IF(Y75=4, 0.1185, IF(Y75=5, 0.014, IF(Y75=6, 0.0086, IF(Y75=7, 0.026, IF(Y75=8, 0.026, IF(Y75=9, 0.026, IF(Y75=1, 0.021,"")))))))))</f>
        <v>5.8500000000000003E-2</v>
      </c>
      <c r="Y124" s="3">
        <f t="shared" ref="Y124:Y125" si="49">IF((K$9=W124),V124,"")</f>
        <v>2</v>
      </c>
      <c r="Z124" s="3" t="str">
        <f>IFERROR(SMALL(Y$123:Y$128,V124),"")</f>
        <v/>
      </c>
      <c r="AA124" s="3">
        <f>IF(Y75=1, 55.333, IF(Y75=2, 64, IF(Y75=3, 64, IF(Y75=4, 64, IF(Y75=5, 55.333, IF(Y75=6,55.333, IF(Y75=7,55.333, IF(Y75=8, 55.333, IF(Y75=9, 55.333,"")))))))))</f>
        <v>64</v>
      </c>
      <c r="AB124" s="3">
        <f>IF(Z$123=V124,K$13*X124*14415)</f>
        <v>42163875</v>
      </c>
      <c r="AC124" s="3">
        <f>IF(Z$123=V124,K$14*X124*14415)</f>
        <v>0</v>
      </c>
      <c r="AD124" s="3">
        <f>(((AB124-AC124)/1000)*0.000001)*K$7</f>
        <v>4.2163874999999996E-2</v>
      </c>
      <c r="AE124" s="2" t="s">
        <v>64</v>
      </c>
      <c r="AF124" s="2"/>
      <c r="AG124" s="2"/>
      <c r="AH124" s="2"/>
      <c r="AI124" s="2"/>
      <c r="AJ124" s="2">
        <v>2</v>
      </c>
      <c r="AK124" s="3" t="s">
        <v>106</v>
      </c>
      <c r="AL124" s="3">
        <f>IF(AM75=2, 0.0585, IF(AM75=3, 0.0675, IF(AM75=4, 0.1185, IF(AM75=5, 0.014, IF(AM75=6, 0.0086, IF(AM75=7, 0.026, IF(AM75=8, 0.026, IF(AM75=9, 0.026, IF(AM75=1, 0.021,"")))))))))</f>
        <v>5.8500000000000003E-2</v>
      </c>
      <c r="AM124" s="3">
        <f>IF((L$9=AK124),AJ124,"")</f>
        <v>2</v>
      </c>
      <c r="AN124" s="3" t="str">
        <f>IFERROR(SMALL(AM$123:AM$128,AJ124),"")</f>
        <v/>
      </c>
      <c r="AO124" s="3">
        <f>IF(AM75=1, 55.333, IF(AM75=2, 64, IF(AM75=3, 64, IF(AM75=4, 64, IF(AM75=5, 55.333, IF(AM75=6,55.333, IF(AM75=7,55.333, IF(AM75=8, 55.333, IF(AM75=9, 55.333,"")))))))))</f>
        <v>64</v>
      </c>
      <c r="AP124" s="3">
        <f>IF(AN$123=AJ124,L$13*AL124*14415)</f>
        <v>42163875</v>
      </c>
      <c r="AQ124" s="3">
        <f>IF(AN$123=AJ124,L$14*AL124*14415)</f>
        <v>0</v>
      </c>
      <c r="AR124" s="3">
        <f>(((AP124-AQ124)/1000)*0.000001)*L$7</f>
        <v>4.2163874999999996E-2</v>
      </c>
      <c r="AS124" s="2" t="s">
        <v>64</v>
      </c>
      <c r="AT124" s="2"/>
      <c r="AU124" s="2"/>
      <c r="AV124" s="2"/>
      <c r="AX124" s="2">
        <v>2</v>
      </c>
      <c r="AY124" s="3" t="s">
        <v>106</v>
      </c>
      <c r="AZ124" s="3">
        <f>IF(BA75=2, 0.0585, IF(BA75=3, 0.0675, IF(BA75=4, 0.1185, IF(BA75=5, 0.014, IF(BA75=6, 0.0086, IF(BA75=7, 0.026, IF(BA75=8, 0.026, IF(BA75=9, 0.026, IF(BA75=1, 0.021,"")))))))))</f>
        <v>5.8500000000000003E-2</v>
      </c>
      <c r="BA124" s="3">
        <f t="shared" ref="BA124:BA128" si="50">IF((M$9=AY124),AX124,"")</f>
        <v>2</v>
      </c>
      <c r="BB124" s="3" t="str">
        <f>IFERROR(SMALL(BA$123:BA$128,AX124),"")</f>
        <v/>
      </c>
      <c r="BC124" s="3">
        <f>IF(BA75=1, 55.333, IF(BA75=2, 64, IF(BA75=3, 64, IF(BA75=4, 64, IF(BA75=5, 55.333, IF(BA75=6,55.333, IF(BA75=7,55.333, IF(BA75=8, 55.333, IF(BA75=9, 55.333,"")))))))))</f>
        <v>64</v>
      </c>
      <c r="BD124" s="3">
        <f>IF(BB$123=AX124,M$13*AZ124*14415)</f>
        <v>42163875</v>
      </c>
      <c r="BE124" s="3">
        <f>IF(BB$123=AX124,M$14*AZ124*14415)</f>
        <v>0</v>
      </c>
      <c r="BF124" s="3">
        <f>(((BD124-BE124)/1000)*0.000001)*M$7</f>
        <v>4.2163874999999996E-2</v>
      </c>
      <c r="BG124" s="2" t="s">
        <v>64</v>
      </c>
      <c r="BH124" s="2"/>
      <c r="BI124" s="2"/>
      <c r="BL124" s="2"/>
      <c r="BM124" s="2"/>
    </row>
    <row r="125" spans="6:65" hidden="1">
      <c r="F125" s="2">
        <v>3</v>
      </c>
      <c r="G125" s="3" t="s">
        <v>65</v>
      </c>
      <c r="H125" s="3">
        <f>IF(N75=2, 0.723, IF(N75=3, 0.342, IF(N75=4, 0.12, IF(N75=5, 0.1, IF(N75=6, 0.1, IF(N75=7, 0.1, IF(N75=1, 0.2475,"")))))))</f>
        <v>0.72299999999999998</v>
      </c>
      <c r="I125" s="3" t="str">
        <f t="shared" si="48"/>
        <v/>
      </c>
      <c r="J125" s="3" t="str">
        <f>IFERROR(SMALL(I$123:I$128,F125),"")</f>
        <v/>
      </c>
      <c r="K125" s="3">
        <f>57</f>
        <v>57</v>
      </c>
      <c r="L125" s="3" t="b">
        <f>IF(J$123=F125,J$13*H125*12310)</f>
        <v>0</v>
      </c>
      <c r="M125" s="3" t="b">
        <f>IF(J$123=F125,J$14*H125*12310)</f>
        <v>0</v>
      </c>
      <c r="N125" s="3">
        <f>(((L125-M125)/1000)*0.000001)*J$7</f>
        <v>0</v>
      </c>
      <c r="O125" s="2" t="s">
        <v>64</v>
      </c>
      <c r="P125" s="2"/>
      <c r="Q125" s="2"/>
      <c r="R125" s="2"/>
      <c r="S125" s="2"/>
      <c r="T125" s="2"/>
      <c r="V125" s="2">
        <v>3</v>
      </c>
      <c r="W125" s="3" t="s">
        <v>65</v>
      </c>
      <c r="X125" s="3">
        <f>IF(AD75=2, 0.723, IF(AD75=3, 0.342, IF(AD75=4, 0.12, IF(AD75=5, 0.1, IF(AD75=6, 0.1, IF(AD75=7, 0.1, IF(AD75=1, 0.2475,"")))))))</f>
        <v>0.72299999999999998</v>
      </c>
      <c r="Y125" s="3" t="str">
        <f t="shared" si="49"/>
        <v/>
      </c>
      <c r="Z125" s="3" t="str">
        <f>IFERROR(SMALL(Y$123:Y$128,V125),"")</f>
        <v/>
      </c>
      <c r="AA125" s="3">
        <f>57</f>
        <v>57</v>
      </c>
      <c r="AB125" s="3" t="b">
        <f>IF(Z$123=V125,K$13*X125*12310)</f>
        <v>0</v>
      </c>
      <c r="AC125" s="3" t="b">
        <f>IF(Z$123=V125,K$14*X125*12310)</f>
        <v>0</v>
      </c>
      <c r="AD125" s="3">
        <f>(((AB125-AC125)/1000)*0.000001)*K$7</f>
        <v>0</v>
      </c>
      <c r="AE125" s="2" t="s">
        <v>64</v>
      </c>
      <c r="AF125" s="2"/>
      <c r="AG125" s="2"/>
      <c r="AH125" s="2"/>
      <c r="AI125" s="2"/>
      <c r="AJ125" s="2">
        <v>3</v>
      </c>
      <c r="AK125" s="3" t="s">
        <v>65</v>
      </c>
      <c r="AL125" s="3">
        <f>IF(AR75=2, 0.723, IF(AR75=3, 0.342, IF(AR75=4, 0.12, IF(AR75=5, 0.1, IF(AR75=6, 0.1, IF(AR75=7, 0.1, IF(AR75=1, 0.2475,"")))))))</f>
        <v>0.72299999999999998</v>
      </c>
      <c r="AM125" s="3" t="str">
        <f>IF((L$9=AK125),AJ125,"")</f>
        <v/>
      </c>
      <c r="AN125" s="3" t="str">
        <f>IFERROR(SMALL(AM$123:AM$128,AJ125),"")</f>
        <v/>
      </c>
      <c r="AO125" s="3">
        <f>57</f>
        <v>57</v>
      </c>
      <c r="AP125" s="3" t="b">
        <f>IF(AN$123=AJ125,L$13*AL125*12310)</f>
        <v>0</v>
      </c>
      <c r="AQ125" s="3" t="b">
        <f>IF(AN$123=AJ125,L$14*AL125*12310)</f>
        <v>0</v>
      </c>
      <c r="AR125" s="3">
        <f>(((AP125-AQ125)/1000)*0.000001)*L$7</f>
        <v>0</v>
      </c>
      <c r="AS125" s="2" t="s">
        <v>64</v>
      </c>
      <c r="AT125" s="2"/>
      <c r="AU125" s="2"/>
      <c r="AV125" s="2"/>
      <c r="AX125" s="2">
        <v>3</v>
      </c>
      <c r="AY125" s="3" t="s">
        <v>65</v>
      </c>
      <c r="AZ125" s="3">
        <f>IF(BF75=2, 0.723, IF(BF75=3, 0.342, IF(BF75=4, 0.12, IF(BF75=5, 0.1, IF(BF75=6, 0.1, IF(BF75=7, 0.1, IF(BF75=1, 0.2475,"")))))))</f>
        <v>0.72299999999999998</v>
      </c>
      <c r="BA125" s="3" t="str">
        <f t="shared" si="50"/>
        <v/>
      </c>
      <c r="BB125" s="3" t="str">
        <f>IFERROR(SMALL(BA$123:BA$128,AX125),"")</f>
        <v/>
      </c>
      <c r="BC125" s="3">
        <f>57</f>
        <v>57</v>
      </c>
      <c r="BD125" s="3" t="b">
        <f>IF(BB$123=AX125,M$13*AZ125*12310)</f>
        <v>0</v>
      </c>
      <c r="BE125" s="3" t="b">
        <f>IF(BB$123=AX125,M$14*AZ125*12310)</f>
        <v>0</v>
      </c>
      <c r="BF125" s="3">
        <f>(((BD125-BE125)/1000)*0.000001)*M$7</f>
        <v>0</v>
      </c>
      <c r="BG125" s="2" t="s">
        <v>64</v>
      </c>
      <c r="BH125" s="2"/>
      <c r="BI125" s="2"/>
      <c r="BL125" s="2"/>
      <c r="BM125" s="2"/>
    </row>
    <row r="126" spans="6:65" hidden="1">
      <c r="F126" s="11">
        <v>4</v>
      </c>
      <c r="G126" s="7" t="s">
        <v>66</v>
      </c>
      <c r="H126" s="7">
        <v>2E-3</v>
      </c>
      <c r="I126" s="7" t="str">
        <f>IF((Q$9=G126),F126,"")</f>
        <v/>
      </c>
      <c r="J126" s="7" t="str">
        <f>IFERROR(SMALL(I$128:I$141,F126),"")</f>
        <v/>
      </c>
      <c r="K126" s="7">
        <f>39.57</f>
        <v>39.57</v>
      </c>
      <c r="L126" s="7" t="b">
        <f>IF(J$128=F126,I$9*(K126*H126))</f>
        <v>0</v>
      </c>
      <c r="M126" s="7" t="b">
        <f>IF(J$128=F126,L$9*(K126*H126))</f>
        <v>0</v>
      </c>
      <c r="N126" s="7">
        <f>L126-M126</f>
        <v>0</v>
      </c>
      <c r="O126" s="2"/>
      <c r="P126" s="2"/>
      <c r="Q126" s="2"/>
      <c r="R126" s="2"/>
      <c r="S126" s="2"/>
      <c r="T126" s="2"/>
      <c r="V126" s="11">
        <v>4</v>
      </c>
      <c r="W126" s="7" t="s">
        <v>66</v>
      </c>
      <c r="X126" s="7">
        <v>2E-3</v>
      </c>
      <c r="Y126" s="7" t="str">
        <f>IF((AG$9=W126),V126,"")</f>
        <v/>
      </c>
      <c r="Z126" s="7" t="str">
        <f>IFERROR(SMALL(Y$128:Y$141,V126),"")</f>
        <v/>
      </c>
      <c r="AA126" s="7">
        <f>39.57</f>
        <v>39.57</v>
      </c>
      <c r="AB126" s="7" t="b">
        <f>IF(Z$128=V126,Y$9*(AA126*X126))</f>
        <v>0</v>
      </c>
      <c r="AC126" s="7" t="b">
        <f>IF(Z$128=V126,AB$9*(AA126*X126))</f>
        <v>0</v>
      </c>
      <c r="AD126" s="7">
        <f>AB126-AC126</f>
        <v>0</v>
      </c>
      <c r="AE126" s="2"/>
      <c r="AF126" s="2"/>
      <c r="AG126" s="2"/>
      <c r="AH126" s="2"/>
      <c r="AI126" s="2"/>
      <c r="AJ126" s="11">
        <v>4</v>
      </c>
      <c r="AK126" s="7" t="s">
        <v>66</v>
      </c>
      <c r="AL126" s="7">
        <v>2E-3</v>
      </c>
      <c r="AM126" s="7" t="str">
        <f>IF((AU$9=AK126),AJ126,"")</f>
        <v/>
      </c>
      <c r="AN126" s="7" t="str">
        <f>IFERROR(SMALL(AM$128:AM$141,AJ126),"")</f>
        <v/>
      </c>
      <c r="AO126" s="7">
        <f>39.57</f>
        <v>39.57</v>
      </c>
      <c r="AP126" s="7" t="b">
        <f>IF(AN$128=AJ126,AM$9*(AO126*AL126))</f>
        <v>0</v>
      </c>
      <c r="AQ126" s="7" t="b">
        <f>IF(AN$128=AJ126,AP$9*(AO126*AL126))</f>
        <v>0</v>
      </c>
      <c r="AR126" s="7">
        <f>AP126-AQ126</f>
        <v>0</v>
      </c>
      <c r="AS126" s="2"/>
      <c r="AT126" s="2"/>
      <c r="AU126" s="2"/>
      <c r="AV126" s="2"/>
      <c r="AX126" s="11">
        <v>4</v>
      </c>
      <c r="AY126" s="7" t="s">
        <v>66</v>
      </c>
      <c r="AZ126" s="7">
        <v>2E-3</v>
      </c>
      <c r="BA126" s="3" t="str">
        <f t="shared" si="50"/>
        <v/>
      </c>
      <c r="BB126" s="7" t="str">
        <f>IFERROR(SMALL(BA$128:BA$141,AX126),"")</f>
        <v/>
      </c>
      <c r="BC126" s="7">
        <f>39.57</f>
        <v>39.57</v>
      </c>
      <c r="BD126" s="7" t="b">
        <f>IF(BB$128=AX126,BA$9*(BC126*AZ126))</f>
        <v>0</v>
      </c>
      <c r="BE126" s="7" t="b">
        <f>IF(BB$128=AX126,BD$9*(BC126*AZ126))</f>
        <v>0</v>
      </c>
      <c r="BF126" s="7">
        <f>BD126-BE126</f>
        <v>0</v>
      </c>
      <c r="BG126" s="2"/>
      <c r="BH126" s="2"/>
      <c r="BI126" s="2"/>
      <c r="BL126" s="2"/>
      <c r="BM126" s="2"/>
    </row>
    <row r="127" spans="6:65" hidden="1">
      <c r="F127" s="11">
        <v>5</v>
      </c>
      <c r="G127" s="7" t="s">
        <v>67</v>
      </c>
      <c r="H127" s="7">
        <v>3.5000000000000003E-2</v>
      </c>
      <c r="I127" s="7" t="str">
        <f>IF((Q$9=G127),F127,"")</f>
        <v/>
      </c>
      <c r="J127" s="7" t="str">
        <f>IFERROR(SMALL(I$128:I$141,F127),"")</f>
        <v/>
      </c>
      <c r="K127" s="7">
        <f>87</f>
        <v>87</v>
      </c>
      <c r="L127" s="7" t="b">
        <f>IF(J$128=F127,I$9*(K127*H127))</f>
        <v>0</v>
      </c>
      <c r="M127" s="7" t="b">
        <f>IF(J$128=F127,L$9*(K127*H127))</f>
        <v>0</v>
      </c>
      <c r="N127" s="7">
        <f>L127-M127</f>
        <v>0</v>
      </c>
      <c r="O127" s="2"/>
      <c r="P127" s="2"/>
      <c r="Q127" s="2"/>
      <c r="R127" s="2"/>
      <c r="S127" s="2"/>
      <c r="T127" s="2"/>
      <c r="V127" s="11">
        <v>5</v>
      </c>
      <c r="W127" s="7" t="s">
        <v>67</v>
      </c>
      <c r="X127" s="7">
        <v>3.5000000000000003E-2</v>
      </c>
      <c r="Y127" s="7" t="str">
        <f>IF((AG$9=W127),V127,"")</f>
        <v/>
      </c>
      <c r="Z127" s="7" t="str">
        <f>IFERROR(SMALL(Y$128:Y$141,V127),"")</f>
        <v/>
      </c>
      <c r="AA127" s="7">
        <f>87</f>
        <v>87</v>
      </c>
      <c r="AB127" s="7" t="b">
        <f>IF(Z$128=V127,Y$9*(AA127*X127))</f>
        <v>0</v>
      </c>
      <c r="AC127" s="7" t="b">
        <f>IF(Z$128=V127,AB$9*(AA127*X127))</f>
        <v>0</v>
      </c>
      <c r="AD127" s="7">
        <f>AB127-AC127</f>
        <v>0</v>
      </c>
      <c r="AE127" s="2"/>
      <c r="AF127" s="2"/>
      <c r="AG127" s="2"/>
      <c r="AH127" s="2"/>
      <c r="AI127" s="2"/>
      <c r="AJ127" s="11">
        <v>5</v>
      </c>
      <c r="AK127" s="7" t="s">
        <v>67</v>
      </c>
      <c r="AL127" s="7">
        <v>3.5000000000000003E-2</v>
      </c>
      <c r="AM127" s="7" t="str">
        <f>IF((AU$9=AK127),AJ127,"")</f>
        <v/>
      </c>
      <c r="AN127" s="7" t="str">
        <f>IFERROR(SMALL(AM$128:AM$141,AJ127),"")</f>
        <v/>
      </c>
      <c r="AO127" s="7">
        <f>87</f>
        <v>87</v>
      </c>
      <c r="AP127" s="7" t="b">
        <f>IF(AN$128=AJ127,AM$9*(AO127*AL127))</f>
        <v>0</v>
      </c>
      <c r="AQ127" s="7" t="b">
        <f>IF(AN$128=AJ127,AP$9*(AO127*AL127))</f>
        <v>0</v>
      </c>
      <c r="AR127" s="7">
        <f>AP127-AQ127</f>
        <v>0</v>
      </c>
      <c r="AS127" s="2"/>
      <c r="AT127" s="2"/>
      <c r="AU127" s="2"/>
      <c r="AV127" s="2"/>
      <c r="AX127" s="11">
        <v>5</v>
      </c>
      <c r="AY127" s="7" t="s">
        <v>67</v>
      </c>
      <c r="AZ127" s="7">
        <v>3.5000000000000003E-2</v>
      </c>
      <c r="BA127" s="3" t="str">
        <f t="shared" si="50"/>
        <v/>
      </c>
      <c r="BB127" s="7" t="str">
        <f>IFERROR(SMALL(BA$128:BA$141,AX127),"")</f>
        <v/>
      </c>
      <c r="BC127" s="7">
        <f>87</f>
        <v>87</v>
      </c>
      <c r="BD127" s="7" t="b">
        <f>IF(BB$128=AX127,BA$9*(BC127*AZ127))</f>
        <v>0</v>
      </c>
      <c r="BE127" s="7" t="b">
        <f>IF(BB$128=AX127,BD$9*(BC127*AZ127))</f>
        <v>0</v>
      </c>
      <c r="BF127" s="7">
        <f>BD127-BE127</f>
        <v>0</v>
      </c>
      <c r="BG127" s="2"/>
      <c r="BH127" s="2"/>
      <c r="BI127" s="2"/>
      <c r="BL127" s="2"/>
      <c r="BM127" s="2"/>
    </row>
    <row r="128" spans="6:65" hidden="1">
      <c r="F128" s="11">
        <v>6</v>
      </c>
      <c r="G128" s="7" t="s">
        <v>68</v>
      </c>
      <c r="H128" s="7">
        <v>6.2E-2</v>
      </c>
      <c r="I128" s="7" t="str">
        <f>IF((Q$9=G128),F128,"")</f>
        <v/>
      </c>
      <c r="J128" s="7" t="str">
        <f>IFERROR(SMALL(I$128:I$141,F128),"")</f>
        <v/>
      </c>
      <c r="K128" s="7">
        <f>63</f>
        <v>63</v>
      </c>
      <c r="L128" s="7" t="b">
        <f>IF(J$128=F128,I$9*(K128*H128))</f>
        <v>0</v>
      </c>
      <c r="M128" s="7" t="b">
        <f>IF(J$128=F128,L$9*(K128*H128))</f>
        <v>0</v>
      </c>
      <c r="N128" s="7">
        <f>L128-M128</f>
        <v>0</v>
      </c>
      <c r="O128" s="2"/>
      <c r="P128" s="2"/>
      <c r="Q128" s="2"/>
      <c r="R128" s="2"/>
      <c r="S128" s="2"/>
      <c r="T128" s="2"/>
      <c r="V128" s="11">
        <v>6</v>
      </c>
      <c r="W128" s="7" t="s">
        <v>68</v>
      </c>
      <c r="X128" s="7">
        <v>6.2E-2</v>
      </c>
      <c r="Y128" s="7" t="str">
        <f>IF((AG$9=W128),V128,"")</f>
        <v/>
      </c>
      <c r="Z128" s="7" t="str">
        <f>IFERROR(SMALL(Y$128:Y$141,V128),"")</f>
        <v/>
      </c>
      <c r="AA128" s="7">
        <f>63</f>
        <v>63</v>
      </c>
      <c r="AB128" s="7" t="b">
        <f>IF(Z$128=V128,Y$9*(AA128*X128))</f>
        <v>0</v>
      </c>
      <c r="AC128" s="7" t="b">
        <f>IF(Z$128=V128,AB$9*(AA128*X128))</f>
        <v>0</v>
      </c>
      <c r="AD128" s="7">
        <f>AB128-AC128</f>
        <v>0</v>
      </c>
      <c r="AE128" s="2"/>
      <c r="AF128" s="2"/>
      <c r="AG128" s="2"/>
      <c r="AH128" s="2"/>
      <c r="AI128" s="2"/>
      <c r="AJ128" s="11">
        <v>6</v>
      </c>
      <c r="AK128" s="7" t="s">
        <v>68</v>
      </c>
      <c r="AL128" s="7">
        <v>6.2E-2</v>
      </c>
      <c r="AM128" s="7" t="str">
        <f>IF((AU$9=AK128),AJ128,"")</f>
        <v/>
      </c>
      <c r="AN128" s="7" t="str">
        <f>IFERROR(SMALL(AM$128:AM$141,AJ128),"")</f>
        <v/>
      </c>
      <c r="AO128" s="7">
        <f>63</f>
        <v>63</v>
      </c>
      <c r="AP128" s="7" t="b">
        <f>IF(AN$128=AJ128,AM$9*(AO128*AL128))</f>
        <v>0</v>
      </c>
      <c r="AQ128" s="7" t="b">
        <f>IF(AN$128=AJ128,AP$9*(AO128*AL128))</f>
        <v>0</v>
      </c>
      <c r="AR128" s="7">
        <f>AP128-AQ128</f>
        <v>0</v>
      </c>
      <c r="AS128" s="2"/>
      <c r="AT128" s="2"/>
      <c r="AU128" s="2"/>
      <c r="AV128" s="2"/>
      <c r="AX128" s="11">
        <v>6</v>
      </c>
      <c r="AY128" s="7" t="s">
        <v>68</v>
      </c>
      <c r="AZ128" s="7">
        <v>6.2E-2</v>
      </c>
      <c r="BA128" s="3" t="str">
        <f t="shared" si="50"/>
        <v/>
      </c>
      <c r="BB128" s="7" t="str">
        <f>IFERROR(SMALL(BA$128:BA$141,AX128),"")</f>
        <v/>
      </c>
      <c r="BC128" s="7">
        <f>63</f>
        <v>63</v>
      </c>
      <c r="BD128" s="7" t="b">
        <f>IF(BB$128=AX128,BA$9*(BC128*AZ128))</f>
        <v>0</v>
      </c>
      <c r="BE128" s="7" t="b">
        <f>IF(BB$128=AX128,BD$9*(BC128*AZ128))</f>
        <v>0</v>
      </c>
      <c r="BF128" s="7">
        <f>BD128-BE128</f>
        <v>0</v>
      </c>
      <c r="BG128" s="2"/>
      <c r="BH128" s="2"/>
      <c r="BI128" s="2"/>
      <c r="BL128" s="2"/>
      <c r="BM128" s="2"/>
    </row>
    <row r="129" spans="6:65" hidden="1">
      <c r="F129" s="2"/>
      <c r="G129" s="2"/>
      <c r="H129" s="2"/>
      <c r="I129" s="2"/>
      <c r="J129" s="2"/>
      <c r="K129" s="2"/>
      <c r="L129" s="2"/>
      <c r="M129" s="2"/>
      <c r="N129" s="2"/>
      <c r="O129" s="2"/>
      <c r="P129" s="2"/>
      <c r="Q129" s="2"/>
      <c r="R129" s="2"/>
      <c r="S129" s="2"/>
      <c r="T129" s="2"/>
      <c r="V129" s="2"/>
      <c r="W129" s="2"/>
      <c r="X129" s="2"/>
      <c r="Y129" s="2"/>
      <c r="Z129" s="2"/>
      <c r="AA129" s="2"/>
      <c r="AB129" s="2"/>
      <c r="AC129" s="2"/>
      <c r="AD129" s="2"/>
      <c r="AE129" s="2"/>
      <c r="AF129" s="2"/>
      <c r="AG129" s="2"/>
      <c r="AH129" s="2"/>
      <c r="AI129" s="2"/>
      <c r="AJ129" s="2"/>
      <c r="AK129" s="2"/>
      <c r="AL129" s="2"/>
      <c r="AM129" s="2"/>
      <c r="AN129" s="2"/>
      <c r="AO129" s="2"/>
      <c r="AP129" s="2"/>
      <c r="AQ129" s="2"/>
      <c r="AR129" s="2"/>
      <c r="AS129" s="2"/>
      <c r="AT129" s="2"/>
      <c r="AU129" s="2"/>
      <c r="AV129" s="2"/>
      <c r="AX129" s="2"/>
      <c r="AY129" s="2"/>
      <c r="AZ129" s="2"/>
      <c r="BA129" s="2"/>
      <c r="BB129" s="2"/>
      <c r="BC129" s="2"/>
      <c r="BD129" s="2"/>
      <c r="BE129" s="2"/>
      <c r="BF129" s="2"/>
      <c r="BG129" s="2"/>
      <c r="BH129" s="2"/>
      <c r="BI129" s="2"/>
      <c r="BL129" s="2"/>
      <c r="BM129" s="2"/>
    </row>
    <row r="130" spans="6:65" s="123" customFormat="1" ht="21.6" hidden="1" customHeight="1">
      <c r="F130" s="126"/>
      <c r="G130" s="126"/>
      <c r="H130" s="126" t="s">
        <v>55</v>
      </c>
      <c r="I130" s="126"/>
      <c r="J130" s="126"/>
      <c r="K130" s="126"/>
      <c r="L130" s="126"/>
      <c r="M130" s="126"/>
      <c r="N130" s="126"/>
      <c r="O130" s="126"/>
      <c r="P130" s="126"/>
      <c r="Q130" s="126"/>
      <c r="R130" s="126"/>
      <c r="S130" s="126"/>
      <c r="T130" s="126"/>
      <c r="V130" s="126"/>
      <c r="W130" s="126"/>
      <c r="X130" s="126" t="s">
        <v>55</v>
      </c>
      <c r="Y130" s="126"/>
      <c r="Z130" s="126"/>
      <c r="AA130" s="126"/>
      <c r="AB130" s="126"/>
      <c r="AC130" s="126"/>
      <c r="AD130" s="126"/>
      <c r="AE130" s="126"/>
      <c r="AF130" s="126"/>
      <c r="AG130" s="126"/>
      <c r="AH130" s="126"/>
      <c r="AI130" s="126"/>
      <c r="AJ130" s="126"/>
      <c r="AK130" s="126"/>
      <c r="AL130" s="126" t="s">
        <v>55</v>
      </c>
      <c r="AM130" s="126"/>
      <c r="AN130" s="126"/>
      <c r="AO130" s="126"/>
      <c r="AP130" s="126"/>
      <c r="AQ130" s="126"/>
      <c r="AR130" s="126"/>
      <c r="AS130" s="126"/>
      <c r="AT130" s="126"/>
      <c r="AU130" s="126"/>
      <c r="AV130" s="126"/>
      <c r="AX130" s="126"/>
      <c r="AY130" s="126"/>
      <c r="AZ130" s="126" t="s">
        <v>55</v>
      </c>
      <c r="BA130" s="126"/>
      <c r="BB130" s="126"/>
      <c r="BC130" s="126"/>
      <c r="BD130" s="126"/>
      <c r="BE130" s="126"/>
      <c r="BF130" s="126"/>
      <c r="BG130" s="126"/>
      <c r="BH130" s="126"/>
      <c r="BI130" s="126"/>
      <c r="BL130" s="126"/>
      <c r="BM130" s="126"/>
    </row>
    <row r="131" spans="6:65" s="123" customFormat="1" ht="21.6" hidden="1" customHeight="1">
      <c r="F131" s="126"/>
      <c r="G131" s="126" t="s">
        <v>56</v>
      </c>
      <c r="H131" s="126" t="s">
        <v>69</v>
      </c>
      <c r="I131" s="126" t="s">
        <v>58</v>
      </c>
      <c r="J131" s="126" t="s">
        <v>58</v>
      </c>
      <c r="K131" s="126" t="s">
        <v>59</v>
      </c>
      <c r="L131" s="126" t="s">
        <v>60</v>
      </c>
      <c r="M131" s="126" t="s">
        <v>61</v>
      </c>
      <c r="N131" s="126" t="s">
        <v>62</v>
      </c>
      <c r="O131" s="126"/>
      <c r="P131" s="126"/>
      <c r="Q131" s="126"/>
      <c r="R131" s="126"/>
      <c r="S131" s="126"/>
      <c r="T131" s="126"/>
      <c r="V131" s="126"/>
      <c r="W131" s="126" t="s">
        <v>56</v>
      </c>
      <c r="X131" s="126" t="s">
        <v>69</v>
      </c>
      <c r="Y131" s="126" t="s">
        <v>58</v>
      </c>
      <c r="Z131" s="126" t="s">
        <v>58</v>
      </c>
      <c r="AA131" s="126" t="s">
        <v>59</v>
      </c>
      <c r="AB131" s="126" t="s">
        <v>60</v>
      </c>
      <c r="AC131" s="126" t="s">
        <v>61</v>
      </c>
      <c r="AD131" s="126" t="s">
        <v>62</v>
      </c>
      <c r="AE131" s="126"/>
      <c r="AF131" s="126"/>
      <c r="AG131" s="126"/>
      <c r="AH131" s="126"/>
      <c r="AI131" s="126"/>
      <c r="AJ131" s="126"/>
      <c r="AK131" s="126" t="s">
        <v>56</v>
      </c>
      <c r="AL131" s="126" t="s">
        <v>69</v>
      </c>
      <c r="AM131" s="126" t="s">
        <v>58</v>
      </c>
      <c r="AN131" s="126" t="s">
        <v>58</v>
      </c>
      <c r="AO131" s="126" t="s">
        <v>59</v>
      </c>
      <c r="AP131" s="126" t="s">
        <v>60</v>
      </c>
      <c r="AQ131" s="126" t="s">
        <v>61</v>
      </c>
      <c r="AR131" s="126" t="s">
        <v>62</v>
      </c>
      <c r="AS131" s="126"/>
      <c r="AT131" s="126"/>
      <c r="AU131" s="126"/>
      <c r="AV131" s="126"/>
      <c r="AX131" s="126"/>
      <c r="AY131" s="126" t="s">
        <v>56</v>
      </c>
      <c r="AZ131" s="126" t="s">
        <v>69</v>
      </c>
      <c r="BA131" s="126" t="s">
        <v>58</v>
      </c>
      <c r="BB131" s="126" t="s">
        <v>58</v>
      </c>
      <c r="BC131" s="126" t="s">
        <v>59</v>
      </c>
      <c r="BD131" s="126" t="s">
        <v>60</v>
      </c>
      <c r="BE131" s="126" t="s">
        <v>61</v>
      </c>
      <c r="BF131" s="126" t="s">
        <v>62</v>
      </c>
      <c r="BG131" s="126"/>
      <c r="BH131" s="126"/>
      <c r="BI131" s="126"/>
      <c r="BL131" s="126"/>
      <c r="BM131" s="126"/>
    </row>
    <row r="132" spans="6:65" s="123" customFormat="1" ht="21.6" hidden="1" customHeight="1">
      <c r="F132" s="126">
        <v>1</v>
      </c>
      <c r="G132" s="126" t="s">
        <v>63</v>
      </c>
      <c r="H132" s="126">
        <f>IF(I86=2, 0.4756, IF(I86=3, 0.2176, IF(I86=4, 0.0986, IF(I86=5, 0.0522, IF(I86=6, 0.0522, IF(I86= 7, 0.0522, IF(I86=8, 0.0522, IF(I86=9, 0.0522, IF(I86=1, 0.11796, "")))))))))</f>
        <v>0.11796</v>
      </c>
      <c r="I132" s="126">
        <f>IF((J$11=G132),F132,"")</f>
        <v>1</v>
      </c>
      <c r="J132" s="126">
        <f t="shared" ref="J132:J137" si="51">IFERROR(SMALL(I$132:I$137,F132),"")</f>
        <v>1</v>
      </c>
      <c r="K132" s="126">
        <f>IF(I86=1, 64.25, IF(I86=2, 69.333, IF(I86=3, 69.333, IF(I86=4, 69.333, IF(I86=5, 64.25, IF(I86=6,64.25, IF(I86=7,64.25, IF(I86=8, 64.25, IF(I86=9, 64.25,"")))))))))</f>
        <v>64.25</v>
      </c>
      <c r="L132" s="3">
        <f>IF(J$132=F132,J$13*H132*9320)</f>
        <v>54969360</v>
      </c>
      <c r="M132" s="3">
        <f>IF(J$132=F132,J$14*H132*9320)</f>
        <v>0</v>
      </c>
      <c r="N132" s="3">
        <f>(((L132-M132)/1000)*0.000001)*J$7</f>
        <v>5.4969359999999995E-2</v>
      </c>
      <c r="O132" s="126" t="s">
        <v>64</v>
      </c>
      <c r="P132" s="126"/>
      <c r="Q132" s="126"/>
      <c r="R132" s="126"/>
      <c r="S132" s="126"/>
      <c r="T132" s="126"/>
      <c r="V132" s="126">
        <v>1</v>
      </c>
      <c r="W132" s="126" t="s">
        <v>63</v>
      </c>
      <c r="X132" s="126">
        <f>IF(Y86=2, 0.4756, IF(Y86=3, 0.2176, IF(Y86=4, 0.0986, IF(Y86=5, 0.0522, IF(Y86=6, 0.0522, IF(Y86= 7, 0.0522, IF(Y86=8, 0.0522, IF(Y86=9, 0.0522, IF(Y86=1, 0.11796, "")))))))))</f>
        <v>0.11796</v>
      </c>
      <c r="Y132" s="126">
        <f>IF((K$11=W132),V132,"")</f>
        <v>1</v>
      </c>
      <c r="Z132" s="126">
        <f>IFERROR(SMALL(Y$132:Y$137,V132),"")</f>
        <v>1</v>
      </c>
      <c r="AA132" s="126">
        <f>IF(Y86=1, 64.25, IF(Y86=2, 69.333, IF(Y86=3, 69.333, IF(Y86=4, 69.333, IF(Y86=5, 64.25, IF(Y86=6,64.25, IF(Y86=7,64.25, IF(Y86=8, 64.25, IF(Y86=9, 64.25,"")))))))))</f>
        <v>64.25</v>
      </c>
      <c r="AB132" s="3">
        <f>IF(Z$132=V132,K$13*X132*9320)</f>
        <v>54969360</v>
      </c>
      <c r="AC132" s="3">
        <f>IF(Z$132=V132,K$14*X132*9320)</f>
        <v>0</v>
      </c>
      <c r="AD132" s="3">
        <f>(((AB132-AC132)/1000)*0.000001)*K$7</f>
        <v>5.4969359999999995E-2</v>
      </c>
      <c r="AE132" s="126" t="s">
        <v>64</v>
      </c>
      <c r="AF132" s="126"/>
      <c r="AG132" s="126"/>
      <c r="AH132" s="126"/>
      <c r="AI132" s="126"/>
      <c r="AJ132" s="126">
        <v>1</v>
      </c>
      <c r="AK132" s="126" t="s">
        <v>63</v>
      </c>
      <c r="AL132" s="126">
        <f>IF(AM86=2, 0.4756, IF(AM86=3, 0.2176, IF(AM86=4, 0.0986, IF(AM86=5, 0.0522, IF(AM86=6, 0.0522, IF(AM86= 7, 0.0522, IF(AM86=8, 0.0522, IF(AM86=9, 0.0522, IF(AM86=1, 0.11796, "")))))))))</f>
        <v>0.11796</v>
      </c>
      <c r="AM132" s="126">
        <f>IF((L$11=AK132),AJ132,"")</f>
        <v>1</v>
      </c>
      <c r="AN132" s="126">
        <f>IFERROR(SMALL(AM$132:AM$137,AJ132),"")</f>
        <v>1</v>
      </c>
      <c r="AO132" s="126">
        <f>IF(AM86=1, 64.25, IF(AM86=2, 69.333, IF(AM86=3, 69.333, IF(AM86=4, 69.333, IF(AM86=5, 64.25, IF(AM86=6,64.25, IF(AM86=7,64.25, IF(AM86=8, 64.25, IF(AM86=9, 64.25,"")))))))))</f>
        <v>64.25</v>
      </c>
      <c r="AP132" s="3">
        <f>IF(AN$132=AJ132,L$13*AL132*9320)</f>
        <v>54969360</v>
      </c>
      <c r="AQ132" s="3">
        <f>IF(AN$132=AJ132,L$14*AL132*9320)</f>
        <v>0</v>
      </c>
      <c r="AR132" s="3">
        <f>(((AP132-AQ132)/1000)*0.000001)*L$7</f>
        <v>5.4969359999999995E-2</v>
      </c>
      <c r="AS132" s="126" t="s">
        <v>64</v>
      </c>
      <c r="AT132" s="126"/>
      <c r="AU132" s="126"/>
      <c r="AV132" s="126"/>
      <c r="AX132" s="126">
        <v>1</v>
      </c>
      <c r="AY132" s="126" t="s">
        <v>63</v>
      </c>
      <c r="AZ132" s="126">
        <f>IF(BA86=2, 0.4756, IF(BA86=3, 0.2176, IF(BA86=4, 0.0986, IF(BA86=5, 0.0522, IF(BA86=6, 0.0522, IF(BA86= 7, 0.0522, IF(BA86=8, 0.0522, IF(BA86=9, 0.0522, IF(BA86=1, 0.11796, "")))))))))</f>
        <v>0.11796</v>
      </c>
      <c r="BA132" s="126">
        <f>IF((M$11=AY132),AX132,"")</f>
        <v>1</v>
      </c>
      <c r="BB132" s="126">
        <f>IFERROR(SMALL(BA$132:BA$137,AX132),"")</f>
        <v>1</v>
      </c>
      <c r="BC132" s="126">
        <f>IF(BA86=1, 64.25, IF(BA86=2, 69.333, IF(BA86=3, 69.333, IF(BA86=4, 69.333, IF(BA86=5, 64.25, IF(BA86=6,64.25, IF(BA86=7,64.25, IF(BA86=8, 64.25, IF(BA86=9, 64.25,"")))))))))</f>
        <v>64.25</v>
      </c>
      <c r="BD132" s="3">
        <f>IF(BB$132=AX132,M$13*AZ132*9320)</f>
        <v>54969360</v>
      </c>
      <c r="BE132" s="3">
        <f>IF(BB$132=AX132,M$14*AZ132*9320)</f>
        <v>0</v>
      </c>
      <c r="BF132" s="3">
        <f>(((BD132-BE132)/1000)*0.000001)*M$7</f>
        <v>5.4969359999999995E-2</v>
      </c>
      <c r="BG132" s="126" t="s">
        <v>64</v>
      </c>
      <c r="BH132" s="126"/>
      <c r="BI132" s="126"/>
      <c r="BL132" s="126"/>
      <c r="BM132" s="126"/>
    </row>
    <row r="133" spans="6:65" s="123" customFormat="1" hidden="1">
      <c r="F133" s="126">
        <v>2</v>
      </c>
      <c r="G133" s="126" t="s">
        <v>106</v>
      </c>
      <c r="H133" s="126">
        <f>IF(I86=2, 0.0585, IF(I86=3, 0.0675, IF(I86=4, 0.1185, IF(I86=5, 0.014, IF(I86=6, 0.0086, IF(I86=7, 0.026, IF(I86=8, 0.026, IF(I86=9, 0.026, IF(I86=1, 0.021,"")))))))))</f>
        <v>2.1000000000000001E-2</v>
      </c>
      <c r="I133" s="126" t="str">
        <f t="shared" ref="I133:I134" si="52">IF((J$11=G133),F133,"")</f>
        <v/>
      </c>
      <c r="J133" s="126" t="str">
        <f t="shared" si="51"/>
        <v/>
      </c>
      <c r="K133" s="126">
        <f>IF(I86=1, 55.333, IF(I86=2, 64, IF(I86=3, 64, IF(I86=4, 64, IF(I86=5, 55.333, IF(I86=6,55.333, IF(I86=7,55.333, IF(I86=8, 55.333, IF(I86=9, 55.333,"")))))))))</f>
        <v>55.332999999999998</v>
      </c>
      <c r="L133" s="3" t="b">
        <f>IF(J$132=F133,J$13*H133*14415)</f>
        <v>0</v>
      </c>
      <c r="M133" s="3" t="b">
        <f>IF(J$132=F133,J$14*H133*14415)</f>
        <v>0</v>
      </c>
      <c r="N133" s="3">
        <f>(((L133-M133)/1000)*0.000001)*J$7</f>
        <v>0</v>
      </c>
      <c r="O133" s="126" t="s">
        <v>64</v>
      </c>
      <c r="P133" s="126"/>
      <c r="Q133" s="126"/>
      <c r="R133" s="126"/>
      <c r="S133" s="126"/>
      <c r="T133" s="126"/>
      <c r="V133" s="126">
        <v>2</v>
      </c>
      <c r="W133" s="126" t="s">
        <v>106</v>
      </c>
      <c r="X133" s="126">
        <f>IF(Y86=2, 0.0585, IF(Y86=3, 0.0675, IF(Y86=4, 0.1185, IF(Y86=5, 0.014, IF(Y86=6, 0.0086, IF(Y86=7, 0.026, IF(Y86=8, 0.026, IF(Y86=9, 0.026, IF(Y86=1, 0.021,"")))))))))</f>
        <v>2.1000000000000001E-2</v>
      </c>
      <c r="Y133" s="126" t="str">
        <f t="shared" ref="Y133:Y137" si="53">IF((K$11=W133),V133,"")</f>
        <v/>
      </c>
      <c r="Z133" s="126" t="str">
        <f t="shared" ref="Z133:Z137" si="54">IFERROR(SMALL(Y$132:Y$137,V133),"")</f>
        <v/>
      </c>
      <c r="AA133" s="126">
        <f>IF(Y86=1, 55.333, IF(Y86=2, 64, IF(Y86=3, 64, IF(Y86=4, 64, IF(Y86=5, 55.333, IF(Y86=6,55.333, IF(Y86=7,55.333, IF(Y86=8, 55.333, IF(Y86=9, 55.333,"")))))))))</f>
        <v>55.332999999999998</v>
      </c>
      <c r="AB133" s="3" t="b">
        <f>IF(Z$132=V133,K$13*X133*14415)</f>
        <v>0</v>
      </c>
      <c r="AC133" s="3" t="b">
        <f>IF(Z$132=V133,K$14*X133*14415)</f>
        <v>0</v>
      </c>
      <c r="AD133" s="3">
        <f>(((AB133-AC133)/1000)*0.000001)*K$7</f>
        <v>0</v>
      </c>
      <c r="AE133" s="126" t="s">
        <v>64</v>
      </c>
      <c r="AF133" s="126"/>
      <c r="AG133" s="126"/>
      <c r="AH133" s="126"/>
      <c r="AI133" s="126"/>
      <c r="AJ133" s="126">
        <v>2</v>
      </c>
      <c r="AK133" s="126" t="s">
        <v>106</v>
      </c>
      <c r="AL133" s="126">
        <f>IF(AM86=2, 0.0585, IF(AM86=3, 0.0675, IF(AM86=4, 0.1185, IF(AM86=5, 0.014, IF(AM86=6, 0.0086, IF(AM86=7, 0.026, IF(AM86=8, 0.026, IF(AM86=9, 0.026, IF(AM86=1, 0.021,"")))))))))</f>
        <v>2.1000000000000001E-2</v>
      </c>
      <c r="AM133" s="126" t="str">
        <f t="shared" ref="AM133:AM137" si="55">IF((L$11=AK133),AJ133,"")</f>
        <v/>
      </c>
      <c r="AN133" s="126" t="str">
        <f t="shared" ref="AN133:AN137" si="56">IFERROR(SMALL(AM$132:AM$137,AJ133),"")</f>
        <v/>
      </c>
      <c r="AO133" s="126">
        <f>IF(AM86=1, 55.333, IF(AM86=2, 64, IF(AM86=3, 64, IF(AM86=4, 64, IF(AM86=5, 55.333, IF(AM86=6,55.333, IF(AM86=7,55.333, IF(AM86=8, 55.333, IF(AM86=9, 55.333,"")))))))))</f>
        <v>55.332999999999998</v>
      </c>
      <c r="AP133" s="3" t="b">
        <f>IF(AN$132=AJ133,L$13*AL133*14415)</f>
        <v>0</v>
      </c>
      <c r="AQ133" s="3" t="b">
        <f>IF(AN$132=AJ133,L$14*AL133*14415)</f>
        <v>0</v>
      </c>
      <c r="AR133" s="3">
        <f>(((AP133-AQ133)/1000)*0.000001)*L$7</f>
        <v>0</v>
      </c>
      <c r="AS133" s="126" t="s">
        <v>64</v>
      </c>
      <c r="AT133" s="126"/>
      <c r="AU133" s="126"/>
      <c r="AV133" s="126"/>
      <c r="AX133" s="126">
        <v>2</v>
      </c>
      <c r="AY133" s="126" t="s">
        <v>106</v>
      </c>
      <c r="AZ133" s="126">
        <f>IF(BA86=2, 0.0585, IF(BA86=3, 0.0675, IF(BA86=4, 0.1185, IF(BA86=5, 0.014, IF(BA86=6, 0.0086, IF(BA86=7, 0.026, IF(BA86=8, 0.026, IF(BA86=9, 0.026, IF(BA86=1, 0.021,"")))))))))</f>
        <v>2.1000000000000001E-2</v>
      </c>
      <c r="BA133" s="126" t="str">
        <f t="shared" ref="BA133:BA137" si="57">IF((M$11=AY133),AX133,"")</f>
        <v/>
      </c>
      <c r="BB133" s="126" t="str">
        <f t="shared" ref="BB133:BB137" si="58">IFERROR(SMALL(BA$132:BA$137,AX133),"")</f>
        <v/>
      </c>
      <c r="BC133" s="126">
        <f>IF(BA86=1, 55.333, IF(BA86=2, 64, IF(BA86=3, 64, IF(BA86=4, 64, IF(BA86=5, 55.333, IF(BA86=6,55.333, IF(BA86=7,55.333, IF(BA86=8, 55.333, IF(BA86=9, 55.333,"")))))))))</f>
        <v>55.332999999999998</v>
      </c>
      <c r="BD133" s="3" t="b">
        <f>IF(BB$132=AX133,M$13*AZ133*14415)</f>
        <v>0</v>
      </c>
      <c r="BE133" s="3" t="b">
        <f>IF(BB$132=AX133,M$14*AZ133*14415)</f>
        <v>0</v>
      </c>
      <c r="BF133" s="3">
        <f>(((BD133-BE133)/1000)*0.000001)*M$7</f>
        <v>0</v>
      </c>
      <c r="BG133" s="126" t="s">
        <v>64</v>
      </c>
      <c r="BH133" s="126"/>
      <c r="BI133" s="126"/>
      <c r="BL133" s="126"/>
      <c r="BM133" s="126"/>
    </row>
    <row r="134" spans="6:65" s="123" customFormat="1" hidden="1">
      <c r="F134" s="126">
        <v>3</v>
      </c>
      <c r="G134" s="126" t="s">
        <v>65</v>
      </c>
      <c r="H134" s="126">
        <f>IF(N86=2, 0.723, IF(N86=3, 0.342, IF(N86=4, 0.12, IF(N86=5, 0.1, IF(N86=6, 0.1, IF(N86=7, 0.1, IF(N86=1, 0.2475,"")))))))</f>
        <v>0.2475</v>
      </c>
      <c r="I134" s="126" t="str">
        <f t="shared" si="52"/>
        <v/>
      </c>
      <c r="J134" s="126" t="str">
        <f t="shared" si="51"/>
        <v/>
      </c>
      <c r="K134" s="126">
        <f>57</f>
        <v>57</v>
      </c>
      <c r="L134" s="3" t="b">
        <f>IF(J$132=F134,J$13*H134*12310)</f>
        <v>0</v>
      </c>
      <c r="M134" s="3" t="b">
        <f>IF(J$132=F134,J$14*H134*12310)</f>
        <v>0</v>
      </c>
      <c r="N134" s="3">
        <f>(((L134-M134)/1000)*0.000001)*J$7</f>
        <v>0</v>
      </c>
      <c r="O134" s="126" t="s">
        <v>64</v>
      </c>
      <c r="P134" s="126"/>
      <c r="Q134" s="126"/>
      <c r="R134" s="126"/>
      <c r="S134" s="126"/>
      <c r="T134" s="126"/>
      <c r="V134" s="126">
        <v>3</v>
      </c>
      <c r="W134" s="126" t="s">
        <v>65</v>
      </c>
      <c r="X134" s="126">
        <f>IF(AD86=2, 0.723, IF(AD86=3, 0.342, IF(AD86=4, 0.12, IF(AD86=5, 0.1, IF(AD86=6, 0.1, IF(AD86=7, 0.1, IF(AD86=1, 0.2475,"")))))))</f>
        <v>0.2475</v>
      </c>
      <c r="Y134" s="126" t="str">
        <f t="shared" si="53"/>
        <v/>
      </c>
      <c r="Z134" s="126" t="str">
        <f t="shared" si="54"/>
        <v/>
      </c>
      <c r="AA134" s="126">
        <f>57</f>
        <v>57</v>
      </c>
      <c r="AB134" s="3" t="b">
        <f>IF(Z$132=V134,K$13*X134*12310)</f>
        <v>0</v>
      </c>
      <c r="AC134" s="3" t="b">
        <f>IF(Z$132=V134,K$14*X134*12310)</f>
        <v>0</v>
      </c>
      <c r="AD134" s="3">
        <f>(((AB134-AC134)/1000)*0.000001)*K$7</f>
        <v>0</v>
      </c>
      <c r="AE134" s="126" t="s">
        <v>64</v>
      </c>
      <c r="AF134" s="126"/>
      <c r="AG134" s="126"/>
      <c r="AH134" s="126"/>
      <c r="AI134" s="126"/>
      <c r="AJ134" s="126">
        <v>3</v>
      </c>
      <c r="AK134" s="126" t="s">
        <v>65</v>
      </c>
      <c r="AL134" s="126">
        <f>IF(AR86=2, 0.723, IF(AR86=3, 0.342, IF(AR86=4, 0.12, IF(AR86=5, 0.1, IF(AR86=6, 0.1, IF(AR86=7, 0.1, IF(AR86=1, 0.2475,"")))))))</f>
        <v>0.2475</v>
      </c>
      <c r="AM134" s="126" t="str">
        <f t="shared" si="55"/>
        <v/>
      </c>
      <c r="AN134" s="126" t="str">
        <f t="shared" si="56"/>
        <v/>
      </c>
      <c r="AO134" s="126">
        <f>57</f>
        <v>57</v>
      </c>
      <c r="AP134" s="3" t="b">
        <f>IF(AN$132=AJ134,L$13*AL134*12310)</f>
        <v>0</v>
      </c>
      <c r="AQ134" s="3" t="b">
        <f>IF(AN$132=AJ134,L$14*AL134*12310)</f>
        <v>0</v>
      </c>
      <c r="AR134" s="3">
        <f>(((AP134-AQ134)/1000)*0.000001)*L$7</f>
        <v>0</v>
      </c>
      <c r="AS134" s="126" t="s">
        <v>64</v>
      </c>
      <c r="AT134" s="126"/>
      <c r="AU134" s="126"/>
      <c r="AV134" s="126"/>
      <c r="AX134" s="126">
        <v>3</v>
      </c>
      <c r="AY134" s="126" t="s">
        <v>65</v>
      </c>
      <c r="AZ134" s="126">
        <f>IF(BF86=2, 0.723, IF(BF86=3, 0.342, IF(BF86=4, 0.12, IF(BF86=5, 0.1, IF(BF86=6, 0.1, IF(BF86=7, 0.1, IF(BF86=1, 0.2475,"")))))))</f>
        <v>0.2475</v>
      </c>
      <c r="BA134" s="126" t="str">
        <f t="shared" si="57"/>
        <v/>
      </c>
      <c r="BB134" s="126" t="str">
        <f t="shared" si="58"/>
        <v/>
      </c>
      <c r="BC134" s="126">
        <f>57</f>
        <v>57</v>
      </c>
      <c r="BD134" s="3" t="b">
        <f>IF(BB$132=AX134,M$13*AZ134*12310)</f>
        <v>0</v>
      </c>
      <c r="BE134" s="3" t="b">
        <f>IF(BB$132=AX134,M$14*AZ134*12310)</f>
        <v>0</v>
      </c>
      <c r="BF134" s="3">
        <f>(((BD134-BE134)/1000)*0.000001)*M$7</f>
        <v>0</v>
      </c>
      <c r="BG134" s="126" t="s">
        <v>64</v>
      </c>
      <c r="BH134" s="126"/>
      <c r="BI134" s="126"/>
      <c r="BL134" s="126"/>
      <c r="BM134" s="126"/>
    </row>
    <row r="135" spans="6:65" s="123" customFormat="1" hidden="1">
      <c r="F135" s="126">
        <v>4</v>
      </c>
      <c r="G135" s="126" t="s">
        <v>66</v>
      </c>
      <c r="H135" s="126">
        <v>2E-3</v>
      </c>
      <c r="I135" s="126" t="str">
        <f>IF((Q$11=G135),F135,"")</f>
        <v/>
      </c>
      <c r="J135" s="126" t="str">
        <f t="shared" si="51"/>
        <v/>
      </c>
      <c r="K135" s="126">
        <f>39.57</f>
        <v>39.57</v>
      </c>
      <c r="L135" s="126" t="b">
        <f>IF(J$137=F135,J$13*(K135*H135))</f>
        <v>0</v>
      </c>
      <c r="M135" s="126" t="b">
        <f>IF(J$137=F135,J$14*(K135*H135))</f>
        <v>0</v>
      </c>
      <c r="N135" s="128">
        <f>L135-M135</f>
        <v>0</v>
      </c>
      <c r="O135" s="126"/>
      <c r="P135" s="126"/>
      <c r="Q135" s="126"/>
      <c r="R135" s="126"/>
      <c r="S135" s="126"/>
      <c r="T135" s="126"/>
      <c r="V135" s="126">
        <v>4</v>
      </c>
      <c r="W135" s="126" t="s">
        <v>66</v>
      </c>
      <c r="X135" s="126">
        <v>2E-3</v>
      </c>
      <c r="Y135" s="126" t="str">
        <f t="shared" si="53"/>
        <v/>
      </c>
      <c r="Z135" s="126" t="str">
        <f t="shared" si="54"/>
        <v/>
      </c>
      <c r="AA135" s="126">
        <f>39.57</f>
        <v>39.57</v>
      </c>
      <c r="AB135" s="126" t="b">
        <f>IF(Z$137=V135,Z$13*(AA135*X135))</f>
        <v>0</v>
      </c>
      <c r="AC135" s="126" t="b">
        <f>IF(Z$137=V135,Z$14*(AA135*X135))</f>
        <v>0</v>
      </c>
      <c r="AD135" s="128">
        <f>AB135-AC135</f>
        <v>0</v>
      </c>
      <c r="AE135" s="126"/>
      <c r="AF135" s="126"/>
      <c r="AG135" s="126"/>
      <c r="AH135" s="126"/>
      <c r="AI135" s="126"/>
      <c r="AJ135" s="126">
        <v>4</v>
      </c>
      <c r="AK135" s="126" t="s">
        <v>66</v>
      </c>
      <c r="AL135" s="126">
        <v>2E-3</v>
      </c>
      <c r="AM135" s="126" t="str">
        <f t="shared" si="55"/>
        <v/>
      </c>
      <c r="AN135" s="126" t="str">
        <f t="shared" si="56"/>
        <v/>
      </c>
      <c r="AO135" s="126">
        <f>39.57</f>
        <v>39.57</v>
      </c>
      <c r="AP135" s="126" t="b">
        <f>IF(AN$137=AJ135,AN$13*(AO135*AL135))</f>
        <v>0</v>
      </c>
      <c r="AQ135" s="126" t="b">
        <f>IF(AN$137=AJ135,AN$14*(AO135*AL135))</f>
        <v>0</v>
      </c>
      <c r="AR135" s="128">
        <f>AP135-AQ135</f>
        <v>0</v>
      </c>
      <c r="AS135" s="126"/>
      <c r="AT135" s="126"/>
      <c r="AU135" s="126"/>
      <c r="AV135" s="126"/>
      <c r="AX135" s="126">
        <v>4</v>
      </c>
      <c r="AY135" s="126" t="s">
        <v>66</v>
      </c>
      <c r="AZ135" s="126">
        <v>2E-3</v>
      </c>
      <c r="BA135" s="126" t="str">
        <f t="shared" si="57"/>
        <v/>
      </c>
      <c r="BB135" s="126" t="str">
        <f t="shared" si="58"/>
        <v/>
      </c>
      <c r="BC135" s="126">
        <f>39.57</f>
        <v>39.57</v>
      </c>
      <c r="BD135" s="126" t="b">
        <f>IF(BB$137=AX135,BB$13*(BC135*AZ135))</f>
        <v>0</v>
      </c>
      <c r="BE135" s="126" t="b">
        <f>IF(BB$137=AX135,BB$14*(BC135*AZ135))</f>
        <v>0</v>
      </c>
      <c r="BF135" s="128">
        <f>BD135-BE135</f>
        <v>0</v>
      </c>
      <c r="BG135" s="126"/>
      <c r="BH135" s="126"/>
      <c r="BI135" s="126"/>
      <c r="BL135" s="126"/>
      <c r="BM135" s="126"/>
    </row>
    <row r="136" spans="6:65" s="123" customFormat="1" hidden="1">
      <c r="F136" s="126">
        <v>5</v>
      </c>
      <c r="G136" s="126" t="s">
        <v>67</v>
      </c>
      <c r="H136" s="126">
        <v>3.5000000000000003E-2</v>
      </c>
      <c r="I136" s="126" t="str">
        <f>IF((Q$11=G136),F136,"")</f>
        <v/>
      </c>
      <c r="J136" s="126" t="str">
        <f t="shared" si="51"/>
        <v/>
      </c>
      <c r="K136" s="126">
        <f>87</f>
        <v>87</v>
      </c>
      <c r="L136" s="126" t="b">
        <f>IF(J$137=F136,J$13*(K136*H136))</f>
        <v>0</v>
      </c>
      <c r="M136" s="126" t="b">
        <f>IF(J$137=F136,J$14*(K136*H136))</f>
        <v>0</v>
      </c>
      <c r="N136" s="128">
        <f>L136-M136</f>
        <v>0</v>
      </c>
      <c r="O136" s="126"/>
      <c r="P136" s="126"/>
      <c r="Q136" s="126"/>
      <c r="R136" s="126"/>
      <c r="S136" s="126"/>
      <c r="T136" s="126"/>
      <c r="V136" s="126">
        <v>5</v>
      </c>
      <c r="W136" s="126" t="s">
        <v>67</v>
      </c>
      <c r="X136" s="126">
        <v>3.5000000000000003E-2</v>
      </c>
      <c r="Y136" s="126" t="str">
        <f t="shared" si="53"/>
        <v/>
      </c>
      <c r="Z136" s="126" t="str">
        <f t="shared" si="54"/>
        <v/>
      </c>
      <c r="AA136" s="126">
        <f>87</f>
        <v>87</v>
      </c>
      <c r="AB136" s="126" t="b">
        <f>IF(Z$137=V136,Z$13*(AA136*X136))</f>
        <v>0</v>
      </c>
      <c r="AC136" s="126" t="b">
        <f>IF(Z$137=V136,Z$14*(AA136*X136))</f>
        <v>0</v>
      </c>
      <c r="AD136" s="128">
        <f>AB136-AC136</f>
        <v>0</v>
      </c>
      <c r="AE136" s="126"/>
      <c r="AF136" s="126"/>
      <c r="AG136" s="126"/>
      <c r="AH136" s="126"/>
      <c r="AI136" s="126"/>
      <c r="AJ136" s="126">
        <v>5</v>
      </c>
      <c r="AK136" s="126" t="s">
        <v>67</v>
      </c>
      <c r="AL136" s="126">
        <v>3.5000000000000003E-2</v>
      </c>
      <c r="AM136" s="126" t="str">
        <f t="shared" si="55"/>
        <v/>
      </c>
      <c r="AN136" s="126" t="str">
        <f t="shared" si="56"/>
        <v/>
      </c>
      <c r="AO136" s="126">
        <f>87</f>
        <v>87</v>
      </c>
      <c r="AP136" s="126" t="b">
        <f>IF(AN$137=AJ136,AN$13*(AO136*AL136))</f>
        <v>0</v>
      </c>
      <c r="AQ136" s="126" t="b">
        <f>IF(AN$137=AJ136,AN$14*(AO136*AL136))</f>
        <v>0</v>
      </c>
      <c r="AR136" s="128">
        <f>AP136-AQ136</f>
        <v>0</v>
      </c>
      <c r="AS136" s="126"/>
      <c r="AT136" s="126"/>
      <c r="AU136" s="126"/>
      <c r="AV136" s="126"/>
      <c r="AX136" s="126">
        <v>5</v>
      </c>
      <c r="AY136" s="126" t="s">
        <v>67</v>
      </c>
      <c r="AZ136" s="126">
        <v>3.5000000000000003E-2</v>
      </c>
      <c r="BA136" s="126" t="str">
        <f t="shared" si="57"/>
        <v/>
      </c>
      <c r="BB136" s="126" t="str">
        <f t="shared" si="58"/>
        <v/>
      </c>
      <c r="BC136" s="126">
        <f>87</f>
        <v>87</v>
      </c>
      <c r="BD136" s="126" t="b">
        <f>IF(BB$137=AX136,BB$13*(BC136*AZ136))</f>
        <v>0</v>
      </c>
      <c r="BE136" s="126" t="b">
        <f>IF(BB$137=AX136,BB$14*(BC136*AZ136))</f>
        <v>0</v>
      </c>
      <c r="BF136" s="128">
        <f>BD136-BE136</f>
        <v>0</v>
      </c>
      <c r="BG136" s="126"/>
      <c r="BH136" s="126"/>
      <c r="BI136" s="126"/>
      <c r="BL136" s="126"/>
      <c r="BM136" s="126"/>
    </row>
    <row r="137" spans="6:65" s="130" customFormat="1" ht="15.75" hidden="1" thickBot="1">
      <c r="F137" s="129">
        <v>6</v>
      </c>
      <c r="G137" s="129" t="s">
        <v>68</v>
      </c>
      <c r="H137" s="129">
        <v>6.2E-2</v>
      </c>
      <c r="I137" s="126" t="str">
        <f>IF((Q$11=G137),F137,"")</f>
        <v/>
      </c>
      <c r="J137" s="126" t="str">
        <f t="shared" si="51"/>
        <v/>
      </c>
      <c r="K137" s="129">
        <f>63</f>
        <v>63</v>
      </c>
      <c r="L137" s="126" t="b">
        <f>IF(J$137=F137,J$13*(K137*H137))</f>
        <v>0</v>
      </c>
      <c r="M137" s="126" t="b">
        <f>IF(J$137=F137,J$14*(K137*H137))</f>
        <v>0</v>
      </c>
      <c r="N137" s="128">
        <f>L137-M137</f>
        <v>0</v>
      </c>
      <c r="O137" s="129"/>
      <c r="P137" s="129"/>
      <c r="Q137" s="129"/>
      <c r="R137" s="129"/>
      <c r="S137" s="129"/>
      <c r="T137" s="129"/>
      <c r="V137" s="129">
        <v>6</v>
      </c>
      <c r="W137" s="129" t="s">
        <v>68</v>
      </c>
      <c r="X137" s="129">
        <v>6.2E-2</v>
      </c>
      <c r="Y137" s="126" t="str">
        <f t="shared" si="53"/>
        <v/>
      </c>
      <c r="Z137" s="126" t="str">
        <f t="shared" si="54"/>
        <v/>
      </c>
      <c r="AA137" s="129">
        <f>63</f>
        <v>63</v>
      </c>
      <c r="AB137" s="126" t="b">
        <f>IF(Z$137=V137,Z$13*(AA137*X137))</f>
        <v>0</v>
      </c>
      <c r="AC137" s="126" t="b">
        <f>IF(Z$137=V137,Z$14*(AA137*X137))</f>
        <v>0</v>
      </c>
      <c r="AD137" s="128">
        <f>AB137-AC137</f>
        <v>0</v>
      </c>
      <c r="AE137" s="129"/>
      <c r="AF137" s="129"/>
      <c r="AG137" s="129"/>
      <c r="AH137" s="129"/>
      <c r="AI137" s="129"/>
      <c r="AJ137" s="129">
        <v>6</v>
      </c>
      <c r="AK137" s="129" t="s">
        <v>68</v>
      </c>
      <c r="AL137" s="129">
        <v>6.2E-2</v>
      </c>
      <c r="AM137" s="126" t="str">
        <f t="shared" si="55"/>
        <v/>
      </c>
      <c r="AN137" s="126" t="str">
        <f t="shared" si="56"/>
        <v/>
      </c>
      <c r="AO137" s="129">
        <f>63</f>
        <v>63</v>
      </c>
      <c r="AP137" s="126" t="b">
        <f>IF(AN$137=AJ137,AN$13*(AO137*AL137))</f>
        <v>0</v>
      </c>
      <c r="AQ137" s="126" t="b">
        <f>IF(AN$137=AJ137,AN$14*(AO137*AL137))</f>
        <v>0</v>
      </c>
      <c r="AR137" s="128">
        <f>AP137-AQ137</f>
        <v>0</v>
      </c>
      <c r="AS137" s="129"/>
      <c r="AT137" s="129"/>
      <c r="AU137" s="129"/>
      <c r="AV137" s="129"/>
      <c r="AX137" s="129">
        <v>6</v>
      </c>
      <c r="AY137" s="129" t="s">
        <v>68</v>
      </c>
      <c r="AZ137" s="129">
        <v>6.2E-2</v>
      </c>
      <c r="BA137" s="126" t="str">
        <f t="shared" si="57"/>
        <v/>
      </c>
      <c r="BB137" s="126" t="str">
        <f t="shared" si="58"/>
        <v/>
      </c>
      <c r="BC137" s="129">
        <f>63</f>
        <v>63</v>
      </c>
      <c r="BD137" s="126" t="b">
        <f>IF(BB$137=AX137,BB$13*(BC137*AZ137))</f>
        <v>0</v>
      </c>
      <c r="BE137" s="126" t="b">
        <f>IF(BB$137=AX137,BB$14*(BC137*AZ137))</f>
        <v>0</v>
      </c>
      <c r="BF137" s="128">
        <f>BD137-BE137</f>
        <v>0</v>
      </c>
      <c r="BG137" s="129"/>
      <c r="BH137" s="129"/>
      <c r="BI137" s="129"/>
      <c r="BL137" s="129"/>
      <c r="BM137" s="129"/>
    </row>
    <row r="138" spans="6:65" ht="15.75" hidden="1" thickTop="1">
      <c r="F138" s="2"/>
      <c r="G138" s="2"/>
      <c r="H138" s="2"/>
      <c r="I138" s="2"/>
      <c r="J138" s="2"/>
      <c r="K138" s="2"/>
      <c r="L138" s="2"/>
      <c r="M138" s="2"/>
      <c r="N138" s="2"/>
      <c r="O138" s="2"/>
      <c r="P138" s="2"/>
      <c r="Q138" s="2"/>
      <c r="R138" s="2"/>
      <c r="S138" s="2"/>
      <c r="T138" s="2"/>
      <c r="V138" s="2"/>
      <c r="W138" s="2"/>
      <c r="X138" s="2"/>
      <c r="Y138" s="2"/>
      <c r="Z138" s="2"/>
      <c r="AA138" s="2"/>
      <c r="AB138" s="2"/>
      <c r="AC138" s="2"/>
      <c r="AD138" s="2"/>
      <c r="AE138" s="2"/>
      <c r="AF138" s="2"/>
      <c r="AG138" s="2"/>
      <c r="AH138" s="2"/>
      <c r="AI138" s="2"/>
      <c r="AJ138" s="2"/>
      <c r="AK138" s="2"/>
      <c r="AL138" s="2"/>
      <c r="AM138" s="2"/>
      <c r="AN138" s="2"/>
      <c r="AO138" s="2"/>
      <c r="AP138" s="2"/>
      <c r="AQ138" s="2"/>
      <c r="AR138" s="2"/>
      <c r="AS138" s="2"/>
      <c r="AT138" s="2"/>
      <c r="AU138" s="2"/>
      <c r="AV138" s="2"/>
      <c r="AX138" s="2"/>
      <c r="AY138" s="2"/>
      <c r="AZ138" s="2"/>
      <c r="BA138" s="2"/>
      <c r="BB138" s="2"/>
      <c r="BC138" s="2"/>
      <c r="BD138" s="2"/>
      <c r="BE138" s="2"/>
      <c r="BF138" s="2"/>
      <c r="BG138" s="2"/>
      <c r="BH138" s="2"/>
      <c r="BI138" s="2"/>
      <c r="BL138" s="2"/>
      <c r="BM138" s="2"/>
    </row>
    <row r="139" spans="6:65" hidden="1">
      <c r="F139" s="2"/>
      <c r="G139" s="2"/>
      <c r="H139" s="2" t="s">
        <v>55</v>
      </c>
      <c r="I139" s="2"/>
      <c r="J139" s="2"/>
      <c r="K139" s="2"/>
      <c r="L139" s="2"/>
      <c r="M139" s="2"/>
      <c r="N139" s="2"/>
      <c r="O139" s="2"/>
      <c r="P139" s="2"/>
      <c r="Q139" s="2"/>
      <c r="R139" s="2"/>
      <c r="S139" s="2"/>
      <c r="T139" s="2"/>
      <c r="V139" s="2"/>
      <c r="W139" s="2"/>
      <c r="X139" s="2" t="s">
        <v>55</v>
      </c>
      <c r="Y139" s="2"/>
      <c r="Z139" s="2"/>
      <c r="AA139" s="2"/>
      <c r="AB139" s="2"/>
      <c r="AC139" s="2"/>
      <c r="AD139" s="2"/>
      <c r="AE139" s="2"/>
      <c r="AF139" s="2"/>
      <c r="AG139" s="2"/>
      <c r="AH139" s="2"/>
      <c r="AI139" s="2"/>
      <c r="AJ139" s="2"/>
      <c r="AK139" s="2"/>
      <c r="AL139" s="2" t="s">
        <v>55</v>
      </c>
      <c r="AM139" s="2"/>
      <c r="AN139" s="2"/>
      <c r="AO139" s="2"/>
      <c r="AP139" s="2"/>
      <c r="AQ139" s="2"/>
      <c r="AR139" s="2"/>
      <c r="AS139" s="2"/>
      <c r="AT139" s="2"/>
      <c r="AU139" s="2"/>
      <c r="AV139" s="2"/>
      <c r="AX139" s="2"/>
      <c r="AY139" s="2"/>
      <c r="AZ139" s="2" t="s">
        <v>55</v>
      </c>
      <c r="BA139" s="2"/>
      <c r="BB139" s="2"/>
      <c r="BC139" s="2"/>
      <c r="BD139" s="2"/>
      <c r="BE139" s="2"/>
      <c r="BF139" s="2"/>
      <c r="BG139" s="2"/>
      <c r="BH139" s="2"/>
      <c r="BI139" s="2"/>
      <c r="BL139" s="2"/>
      <c r="BM139" s="2"/>
    </row>
    <row r="140" spans="6:65" hidden="1">
      <c r="F140" s="2"/>
      <c r="G140" s="12" t="s">
        <v>56</v>
      </c>
      <c r="H140" s="12" t="s">
        <v>70</v>
      </c>
      <c r="I140" s="2" t="s">
        <v>58</v>
      </c>
      <c r="J140" s="2" t="s">
        <v>58</v>
      </c>
      <c r="K140" s="12" t="s">
        <v>59</v>
      </c>
      <c r="L140" s="2" t="s">
        <v>60</v>
      </c>
      <c r="M140" s="2" t="s">
        <v>61</v>
      </c>
      <c r="N140" s="2" t="s">
        <v>62</v>
      </c>
      <c r="O140" s="2"/>
      <c r="P140" s="2"/>
      <c r="Q140" s="2"/>
      <c r="R140" s="2"/>
      <c r="S140" s="2"/>
      <c r="T140" s="2"/>
      <c r="V140" s="2"/>
      <c r="W140" s="12" t="s">
        <v>56</v>
      </c>
      <c r="X140" s="12" t="s">
        <v>70</v>
      </c>
      <c r="Y140" s="2" t="s">
        <v>58</v>
      </c>
      <c r="Z140" s="2" t="s">
        <v>58</v>
      </c>
      <c r="AA140" s="12" t="s">
        <v>59</v>
      </c>
      <c r="AB140" s="2" t="s">
        <v>60</v>
      </c>
      <c r="AC140" s="2" t="s">
        <v>61</v>
      </c>
      <c r="AD140" s="2" t="s">
        <v>62</v>
      </c>
      <c r="AE140" s="2"/>
      <c r="AF140" s="2"/>
      <c r="AG140" s="2"/>
      <c r="AH140" s="2"/>
      <c r="AI140" s="2"/>
      <c r="AJ140" s="2"/>
      <c r="AK140" s="12" t="s">
        <v>56</v>
      </c>
      <c r="AL140" s="12" t="s">
        <v>70</v>
      </c>
      <c r="AM140" s="2" t="s">
        <v>58</v>
      </c>
      <c r="AN140" s="2" t="s">
        <v>58</v>
      </c>
      <c r="AO140" s="12" t="s">
        <v>59</v>
      </c>
      <c r="AP140" s="2" t="s">
        <v>60</v>
      </c>
      <c r="AQ140" s="2" t="s">
        <v>61</v>
      </c>
      <c r="AR140" s="2" t="s">
        <v>62</v>
      </c>
      <c r="AS140" s="2"/>
      <c r="AT140" s="2"/>
      <c r="AU140" s="2"/>
      <c r="AV140" s="2"/>
      <c r="AX140" s="2"/>
      <c r="AY140" s="12" t="s">
        <v>56</v>
      </c>
      <c r="AZ140" s="12" t="s">
        <v>70</v>
      </c>
      <c r="BA140" s="2" t="s">
        <v>58</v>
      </c>
      <c r="BB140" s="2" t="s">
        <v>58</v>
      </c>
      <c r="BC140" s="12" t="s">
        <v>59</v>
      </c>
      <c r="BD140" s="2" t="s">
        <v>60</v>
      </c>
      <c r="BE140" s="2" t="s">
        <v>61</v>
      </c>
      <c r="BF140" s="2" t="s">
        <v>62</v>
      </c>
      <c r="BG140" s="2"/>
      <c r="BH140" s="2"/>
      <c r="BI140" s="2"/>
      <c r="BL140" s="2"/>
      <c r="BM140" s="2"/>
    </row>
    <row r="141" spans="6:65" hidden="1">
      <c r="F141" s="2">
        <v>1</v>
      </c>
      <c r="G141" s="3" t="s">
        <v>63</v>
      </c>
      <c r="H141" s="14">
        <f>IF(I75=2, 0.4593, IF(I75=3, 0.242, IF(I75=4, 0.0926, IF(I75=5, 0.058, IF(I75=6, 0.058, IF(I75=7, 0.058, IF(I75=8, 0.058, IF(I75=9, 0.058, IF(I75=1, 0.12455,"")))))))))</f>
        <v>0.45929999999999999</v>
      </c>
      <c r="I141" s="3" t="str">
        <f>IF((J$9=G141),F141,"")</f>
        <v/>
      </c>
      <c r="J141" s="3">
        <f>IFERROR(SMALL(I$141:I$146,F141),"")</f>
        <v>2</v>
      </c>
      <c r="K141" s="3">
        <f>IF(I75=1, 64.25, IF(I75=2, 69.333, IF(I75=3, 69.333, IF(I75=4, 69.333, IF(I75=5, 64.25, IF(I75=6,64.25, IF(I75=7,64.25, IF(I75=8, 64.25, IF(I75=9, 64.25,"")))))))))</f>
        <v>69.332999999999998</v>
      </c>
      <c r="L141" s="3" t="b">
        <f>IF(J$141=F141,J$13*H141*9320)</f>
        <v>0</v>
      </c>
      <c r="M141" s="3" t="b">
        <f>IF(J$141=F141,J$14*H141*9320)</f>
        <v>0</v>
      </c>
      <c r="N141" s="3">
        <f>(((L141-M141)/1000)*0.000001)*J$7</f>
        <v>0</v>
      </c>
      <c r="O141" s="2" t="s">
        <v>64</v>
      </c>
      <c r="P141" s="2"/>
      <c r="Q141" s="2"/>
      <c r="R141" s="2"/>
      <c r="S141" s="2"/>
      <c r="T141" s="2"/>
      <c r="V141" s="2">
        <v>1</v>
      </c>
      <c r="W141" s="3" t="s">
        <v>63</v>
      </c>
      <c r="X141" s="14">
        <f>IF(Y75=2, 0.4593, IF(Y75=3, 0.242, IF(Y75=4, 0.0926, IF(Y75=5, 0.058, IF(Y75=6, 0.058, IF(Y75=7, 0.058, IF(Y75=8, 0.058, IF(Y75=9, 0.058, IF(Y75=1, 0.12455,"")))))))))</f>
        <v>0.45929999999999999</v>
      </c>
      <c r="Y141" s="3" t="str">
        <f>IF((K$9=W141),V141,"")</f>
        <v/>
      </c>
      <c r="Z141" s="3">
        <f>IFERROR(SMALL(Y$141:Y$146,V141),"")</f>
        <v>2</v>
      </c>
      <c r="AA141" s="3">
        <f>IF(Y75=1, 64.25, IF(Y75=2, 69.333, IF(Y75=3, 69.333, IF(Y75=4, 69.333, IF(Y75=5, 64.25, IF(Y75=6,64.25, IF(Y75=7,64.25, IF(Y75=8, 64.25, IF(Y75=9, 64.25,"")))))))))</f>
        <v>69.332999999999998</v>
      </c>
      <c r="AB141" s="3" t="b">
        <f>IF(Z$141=V141,K$13*X141*9320)</f>
        <v>0</v>
      </c>
      <c r="AC141" s="3" t="b">
        <f>IF(Z$141=V141,K$14*X141*9320)</f>
        <v>0</v>
      </c>
      <c r="AD141" s="3">
        <f>(((AB141-AC141)/1000)*0.000001)*K$7</f>
        <v>0</v>
      </c>
      <c r="AE141" s="2" t="s">
        <v>64</v>
      </c>
      <c r="AF141" s="2"/>
      <c r="AG141" s="2"/>
      <c r="AH141" s="2"/>
      <c r="AI141" s="2"/>
      <c r="AJ141" s="2">
        <v>1</v>
      </c>
      <c r="AK141" s="3" t="s">
        <v>63</v>
      </c>
      <c r="AL141" s="14">
        <f>IF(AM75=2, 0.4593, IF(AM75=3, 0.242, IF(AM75=4, 0.0926, IF(AM75=5, 0.058, IF(AM75=6, 0.058, IF(AM75=7, 0.058, IF(AM75=8, 0.058, IF(AM75=9, 0.058, IF(AM75=1, 0.12455,"")))))))))</f>
        <v>0.45929999999999999</v>
      </c>
      <c r="AM141" s="3" t="str">
        <f>IF((L$9=AK141),AJ141,"")</f>
        <v/>
      </c>
      <c r="AN141" s="3">
        <f>IFERROR(SMALL(AM$141:AM$146,AJ141),"")</f>
        <v>2</v>
      </c>
      <c r="AO141" s="3">
        <f>IF(AM75=1, 64.25, IF(AM75=2, 69.333, IF(AM75=3, 69.333, IF(AM75=4, 69.333, IF(AM75=5, 64.25, IF(AM75=6,64.25, IF(AM75=7,64.25, IF(AM75=8, 64.25, IF(AM75=9, 64.25,"")))))))))</f>
        <v>69.332999999999998</v>
      </c>
      <c r="AP141" s="3" t="b">
        <f>IF(AN$141=AJ141,L$13*AL141*9320)</f>
        <v>0</v>
      </c>
      <c r="AQ141" s="3" t="b">
        <f>IF(AN$141=AJ141,L$14*AL141*9320)</f>
        <v>0</v>
      </c>
      <c r="AR141" s="3">
        <f>(((AP141-AQ141)/1000)*0.000001)*L$7</f>
        <v>0</v>
      </c>
      <c r="AS141" s="2" t="s">
        <v>64</v>
      </c>
      <c r="AT141" s="2"/>
      <c r="AU141" s="2"/>
      <c r="AV141" s="2"/>
      <c r="AX141" s="2">
        <v>1</v>
      </c>
      <c r="AY141" s="3" t="s">
        <v>63</v>
      </c>
      <c r="AZ141" s="14">
        <f>IF(BA75=2, 0.4593, IF(BA75=3, 0.242, IF(BA75=4, 0.0926, IF(BA75=5, 0.058, IF(BA75=6, 0.058, IF(BA75=7, 0.058, IF(BA75=8, 0.058, IF(BA75=9, 0.058, IF(BA75=1, 0.12455,"")))))))))</f>
        <v>0.45929999999999999</v>
      </c>
      <c r="BA141" s="3" t="str">
        <f>IF((M$9=AY141),AX141,"")</f>
        <v/>
      </c>
      <c r="BB141" s="3">
        <f>IFERROR(SMALL(BA$141:BA$146,AX141),"")</f>
        <v>2</v>
      </c>
      <c r="BC141" s="3" t="str">
        <f>IF(BA74=1, 64.25, IF(BA74=2, 69.333, IF(BA74=3, 69.333, IF(BA74=4, 69.333, IF(BA74=5, 64.25, IF(BA74=6,64.25, IF(BA74=7,64.25, IF(BA74=8, 64.25, IF(BA74=9, 64.25,"")))))))))</f>
        <v/>
      </c>
      <c r="BD141" s="3" t="b">
        <f>IF(BB$141=AX141,M$13*AZ141*9320)</f>
        <v>0</v>
      </c>
      <c r="BE141" s="3" t="b">
        <f>IF(BB$141=AX141,M$14*AZ141*9320)</f>
        <v>0</v>
      </c>
      <c r="BF141" s="3">
        <f>(((BD141-BE141)/1000)*0.000001)*M$7</f>
        <v>0</v>
      </c>
      <c r="BG141" s="2" t="s">
        <v>64</v>
      </c>
      <c r="BH141" s="2"/>
      <c r="BI141" s="2"/>
      <c r="BL141" s="2"/>
      <c r="BM141" s="2"/>
    </row>
    <row r="142" spans="6:65" hidden="1">
      <c r="F142" s="2">
        <v>2</v>
      </c>
      <c r="G142" s="3" t="s">
        <v>106</v>
      </c>
      <c r="H142" s="14">
        <f>IF(I75=2, 0.69, IF(I75=3, 0.716, IF(I75=4, 0.7715, IF(I75=5, 0.58, IF(I75=6, 0.55, IF(I75=7, 0.45, IF(I75=8, 0.35, IF(I75=9, 0.17, IF(I75=1, 0.50738,"")))))))))</f>
        <v>0.69</v>
      </c>
      <c r="I142" s="3">
        <f t="shared" ref="I142:I143" si="59">IF((J$9=G142),F142,"")</f>
        <v>2</v>
      </c>
      <c r="J142" s="3" t="str">
        <f>IFERROR(SMALL(I$141:I$146,F142),"")</f>
        <v/>
      </c>
      <c r="K142" s="3">
        <f>IF(I75=1, 55.333, IF(I75=2, 64, IF(I75=3, 64, IF(I75=4, 64, IF(I75=5, 55.333, IF(I75=6,55.333, IF(I75=7,55.333, IF(I75=8, 55.333, IF(I75=9, 55.333,"")))))))))</f>
        <v>64</v>
      </c>
      <c r="L142" s="3">
        <f>IF(J$141=F142,J$13*H142*14415)</f>
        <v>497317500</v>
      </c>
      <c r="M142" s="3">
        <f>IF(J$141=F142,J$14*H142*14415)</f>
        <v>0</v>
      </c>
      <c r="N142" s="3">
        <f>(((L142-M142)/1000)*0.000001)*J$7</f>
        <v>0.49731749999999997</v>
      </c>
      <c r="O142" s="2" t="s">
        <v>64</v>
      </c>
      <c r="P142" s="2"/>
      <c r="Q142" s="2"/>
      <c r="R142" s="2"/>
      <c r="S142" s="2"/>
      <c r="T142" s="2"/>
      <c r="V142" s="2">
        <v>2</v>
      </c>
      <c r="W142" s="3" t="s">
        <v>106</v>
      </c>
      <c r="X142" s="14">
        <f>IF(Y75=2, 0.69, IF(Y75=3, 0.716, IF(Y75=4, 0.7715, IF(Y75=5, 0.58, IF(Y75=6, 0.55, IF(Y75=7, 0.45, IF(Y75=8, 0.35, IF(Y75=9, 0.17, IF(Y75=1, 0.50738,"")))))))))</f>
        <v>0.69</v>
      </c>
      <c r="Y142" s="3">
        <f>IF((K$9=W142),V142,"")</f>
        <v>2</v>
      </c>
      <c r="Z142" s="3" t="str">
        <f>IFERROR(SMALL(Y$141:Y$146,V142),"")</f>
        <v/>
      </c>
      <c r="AA142" s="3">
        <f>IF(Y75=1, 55.333, IF(Y75=2, 64, IF(Y75=3, 64, IF(Y75=4, 64, IF(Y75=5, 55.333, IF(Y75=6,55.333, IF(Y75=7,55.333, IF(Y75=8, 55.333, IF(Y75=9, 55.333,"")))))))))</f>
        <v>64</v>
      </c>
      <c r="AB142" s="3">
        <f>IF(Z$141=V142,K$13*X142*14415)</f>
        <v>497317500</v>
      </c>
      <c r="AC142" s="3">
        <f>IF(Z$141=V142,K$14*X142*14415)</f>
        <v>0</v>
      </c>
      <c r="AD142" s="3">
        <f>(((AB142-AC142)/1000)*0.000001)*K$7</f>
        <v>0.49731749999999997</v>
      </c>
      <c r="AE142" s="2" t="s">
        <v>64</v>
      </c>
      <c r="AF142" s="2"/>
      <c r="AG142" s="2"/>
      <c r="AH142" s="2"/>
      <c r="AI142" s="2"/>
      <c r="AJ142" s="2">
        <v>2</v>
      </c>
      <c r="AK142" s="3" t="s">
        <v>106</v>
      </c>
      <c r="AL142" s="14">
        <f>IF(AM75=2, 0.69, IF(AM75=3, 0.716, IF(AM75=4, 0.7715, IF(AM75=5, 0.58, IF(AM75=6, 0.55, IF(AM75=7, 0.45, IF(AM75=8, 0.35, IF(AM75=9, 0.17, IF(AM75=1, 0.50738,"")))))))))</f>
        <v>0.69</v>
      </c>
      <c r="AM142" s="3">
        <f t="shared" ref="AM142:AM143" si="60">IF((L$9=AK142),AJ142,"")</f>
        <v>2</v>
      </c>
      <c r="AN142" s="3" t="str">
        <f>IFERROR(SMALL(AM$141:AM$146,AJ142),"")</f>
        <v/>
      </c>
      <c r="AO142" s="3">
        <f>IF(AM75=1, 55.333, IF(AM75=2, 64, IF(AM75=3, 64, IF(AM75=4, 64, IF(AM75=5, 55.333, IF(AM75=6,55.333, IF(AM75=7,55.333, IF(AM75=8, 55.333, IF(AM75=9, 55.333,"")))))))))</f>
        <v>64</v>
      </c>
      <c r="AP142" s="3">
        <f>IF(AN$141=AJ142,L$13*AL142*14415)</f>
        <v>497317500</v>
      </c>
      <c r="AQ142" s="3">
        <f>IF(AN$141=AJ142,L$14*AL142*14415)</f>
        <v>0</v>
      </c>
      <c r="AR142" s="3">
        <f>(((AP142-AQ142)/1000)*0.000001)*L$7</f>
        <v>0.49731749999999997</v>
      </c>
      <c r="AS142" s="2" t="s">
        <v>64</v>
      </c>
      <c r="AT142" s="2"/>
      <c r="AU142" s="2"/>
      <c r="AV142" s="2"/>
      <c r="AX142" s="2">
        <v>2</v>
      </c>
      <c r="AY142" s="3" t="s">
        <v>106</v>
      </c>
      <c r="AZ142" s="14">
        <f>IF(BA75=2, 0.69, IF(BA75=3, 0.716, IF(BA75=4, 0.7715, IF(BA75=5, 0.58, IF(BA75=6, 0.55, IF(BA75=7, 0.45, IF(BA75=8, 0.35, IF(BA75=9, 0.17, IF(BA75=1, 0.50738,"")))))))))</f>
        <v>0.69</v>
      </c>
      <c r="BA142" s="3">
        <f>IF((M$9=AY142),AX142,"")</f>
        <v>2</v>
      </c>
      <c r="BB142" s="3" t="str">
        <f>IFERROR(SMALL(BA$141:BA$146,AX142),"")</f>
        <v/>
      </c>
      <c r="BC142" s="3" t="str">
        <f>IF(BA74=1, 55.333, IF(BA74=2, 64, IF(BA74=3, 64, IF(BA74=4, 64, IF(BA74=5, 55.333, IF(BA74=6,55.333, IF(BA74=7,55.333, IF(BA74=8, 55.333, IF(BA74=9, 55.333,"")))))))))</f>
        <v/>
      </c>
      <c r="BD142" s="3">
        <f>IF(BB$141=AX142,M$13*AZ142*14415)</f>
        <v>497317500</v>
      </c>
      <c r="BE142" s="3">
        <f>IF(BB$141=AX142,M$14*AZ142*14415)</f>
        <v>0</v>
      </c>
      <c r="BF142" s="3">
        <f>(((BD142-BE142)/1000)*0.000001)*M$7</f>
        <v>0.49731749999999997</v>
      </c>
      <c r="BG142" s="2" t="s">
        <v>64</v>
      </c>
      <c r="BH142" s="2"/>
      <c r="BI142" s="2"/>
      <c r="BL142" s="2"/>
      <c r="BM142" s="2"/>
    </row>
    <row r="143" spans="6:65" hidden="1">
      <c r="F143" s="2">
        <v>3</v>
      </c>
      <c r="G143" s="3" t="s">
        <v>65</v>
      </c>
      <c r="H143" s="3">
        <f>IF(N75=2, 0.414, IF(N75=3, 0.18, IF(N75=4, 0.09, IF(N75=5, 0.056, IF(N75=6, 0.056, IF(N75=7, 0.056, IF(N75=1, 0.142, "")))))))</f>
        <v>0.41399999999999998</v>
      </c>
      <c r="I143" s="3" t="str">
        <f t="shared" si="59"/>
        <v/>
      </c>
      <c r="J143" s="3" t="str">
        <f>IFERROR(SMALL(I$141:I$146,F143),"")</f>
        <v/>
      </c>
      <c r="K143" s="3">
        <f>57</f>
        <v>57</v>
      </c>
      <c r="L143" s="3" t="b">
        <f>IF(J$141=F143,J$13*H143*12310)</f>
        <v>0</v>
      </c>
      <c r="M143" s="3" t="b">
        <f>IF(J$141=F143,J$14*H143*12310)</f>
        <v>0</v>
      </c>
      <c r="N143" s="3">
        <f>(((L143-M143)/1000)*0.000001)*J$7</f>
        <v>0</v>
      </c>
      <c r="O143" s="2" t="s">
        <v>64</v>
      </c>
      <c r="P143" s="2"/>
      <c r="Q143" s="2"/>
      <c r="R143" s="2"/>
      <c r="S143" s="2"/>
      <c r="T143" s="2"/>
      <c r="V143" s="2">
        <v>3</v>
      </c>
      <c r="W143" s="3" t="s">
        <v>65</v>
      </c>
      <c r="X143" s="3">
        <f>IF(AD75=2, 0.414, IF(AD75=3, 0.18, IF(AD75=4, 0.09, IF(AD75=5, 0.056, IF(AD75=6, 0.056, IF(AD75=7, 0.056, IF(AD75=1, 0.142, "")))))))</f>
        <v>0.41399999999999998</v>
      </c>
      <c r="Y143" s="3" t="str">
        <f>IF((K$9=W143),V143,"")</f>
        <v/>
      </c>
      <c r="Z143" s="3" t="str">
        <f>IFERROR(SMALL(Y$141:Y$146,V143),"")</f>
        <v/>
      </c>
      <c r="AA143" s="3">
        <f>57</f>
        <v>57</v>
      </c>
      <c r="AB143" s="3" t="b">
        <f>IF(Z$141=V143,K$13*X143*12310)</f>
        <v>0</v>
      </c>
      <c r="AC143" s="3" t="b">
        <f>IF(Z$141=V143,K$14*X143*12310)</f>
        <v>0</v>
      </c>
      <c r="AD143" s="3">
        <f>(((AB143-AC143)/1000)*0.000001)*K$7</f>
        <v>0</v>
      </c>
      <c r="AE143" s="2" t="s">
        <v>64</v>
      </c>
      <c r="AF143" s="2"/>
      <c r="AG143" s="2"/>
      <c r="AH143" s="2"/>
      <c r="AI143" s="2"/>
      <c r="AJ143" s="2">
        <v>3</v>
      </c>
      <c r="AK143" s="3" t="s">
        <v>65</v>
      </c>
      <c r="AL143" s="3">
        <f>IF(AR75=2, 0.414, IF(AR75=3, 0.18, IF(AR75=4, 0.09, IF(AR75=5, 0.056, IF(AR75=6, 0.056, IF(AR75=7, 0.056, IF(AR75=1, 0.142, "")))))))</f>
        <v>0.41399999999999998</v>
      </c>
      <c r="AM143" s="3" t="str">
        <f t="shared" si="60"/>
        <v/>
      </c>
      <c r="AN143" s="3" t="str">
        <f>IFERROR(SMALL(AM$141:AM$146,AJ143),"")</f>
        <v/>
      </c>
      <c r="AO143" s="3">
        <f>57</f>
        <v>57</v>
      </c>
      <c r="AP143" s="3" t="b">
        <f>IF(AN$141=AJ143,L$13*AL143*12310)</f>
        <v>0</v>
      </c>
      <c r="AQ143" s="3" t="b">
        <f>IF(AN$141=AJ143,L$14*AL143*12310)</f>
        <v>0</v>
      </c>
      <c r="AR143" s="3">
        <f>(((AP143-AQ143)/1000)*0.000001)*L$7</f>
        <v>0</v>
      </c>
      <c r="AS143" s="2" t="s">
        <v>64</v>
      </c>
      <c r="AT143" s="2"/>
      <c r="AU143" s="2"/>
      <c r="AV143" s="2"/>
      <c r="AX143" s="2">
        <v>3</v>
      </c>
      <c r="AY143" s="3" t="s">
        <v>65</v>
      </c>
      <c r="AZ143" s="3">
        <f>IF(BF75=2, 0.414, IF(BF75=3, 0.18, IF(BF75=4, 0.09, IF(BF75=5, 0.056, IF(BF75=6, 0.056, IF(BF75=7, 0.056, IF(BF75=1, 0.142, "")))))))</f>
        <v>0.41399999999999998</v>
      </c>
      <c r="BA143" s="3" t="str">
        <f>IF((M$9=AY143),AX143,"")</f>
        <v/>
      </c>
      <c r="BB143" s="3" t="str">
        <f>IFERROR(SMALL(BA$141:BA$146,AX143),"")</f>
        <v/>
      </c>
      <c r="BC143" s="3">
        <f>57</f>
        <v>57</v>
      </c>
      <c r="BD143" s="3" t="b">
        <f>IF(BB$141=AX143,M$13*AZ143*12310)</f>
        <v>0</v>
      </c>
      <c r="BE143" s="3" t="b">
        <f>IF(BB$141=AX143,M$14*AZ143*12310)</f>
        <v>0</v>
      </c>
      <c r="BF143" s="3">
        <f>(((BD143-BE143)/1000)*0.000001)*M$7</f>
        <v>0</v>
      </c>
      <c r="BG143" s="2" t="s">
        <v>64</v>
      </c>
      <c r="BH143" s="2"/>
      <c r="BI143" s="2"/>
      <c r="BL143" s="2"/>
      <c r="BM143" s="2"/>
    </row>
    <row r="144" spans="6:65" hidden="1">
      <c r="F144" s="11">
        <v>4</v>
      </c>
      <c r="G144" s="7" t="s">
        <v>66</v>
      </c>
      <c r="H144" s="7">
        <v>7.5399999999999995E-2</v>
      </c>
      <c r="I144" s="7" t="str">
        <f>IF((Q$9=G144),F144,"")</f>
        <v/>
      </c>
      <c r="J144" s="7" t="str">
        <f>IFERROR(SMALL(I$146:I$163,F144),"")</f>
        <v/>
      </c>
      <c r="K144" s="7">
        <f>39.57</f>
        <v>39.57</v>
      </c>
      <c r="L144" s="7" t="b">
        <f>IF(J$146=F144,I$9*(K144*H144))</f>
        <v>0</v>
      </c>
      <c r="M144" s="7" t="b">
        <f>IF(J$146=F144,L$9*(K144*H144))</f>
        <v>0</v>
      </c>
      <c r="N144" s="7">
        <f>L144-M144</f>
        <v>0</v>
      </c>
      <c r="O144" s="2"/>
      <c r="P144" s="2"/>
      <c r="Q144" s="2"/>
      <c r="R144" s="2"/>
      <c r="S144" s="2"/>
      <c r="T144" s="2"/>
      <c r="V144" s="11">
        <v>4</v>
      </c>
      <c r="W144" s="7" t="s">
        <v>66</v>
      </c>
      <c r="X144" s="7">
        <v>7.5399999999999995E-2</v>
      </c>
      <c r="Y144" s="7" t="str">
        <f>IF((AG$9=W144),V144,"")</f>
        <v/>
      </c>
      <c r="Z144" s="7" t="str">
        <f>IFERROR(SMALL(Y$146:Y$163,V144),"")</f>
        <v/>
      </c>
      <c r="AA144" s="7">
        <f>39.57</f>
        <v>39.57</v>
      </c>
      <c r="AB144" s="7" t="b">
        <f>IF(Z$146=V144,Y$9*(AA144*X144))</f>
        <v>0</v>
      </c>
      <c r="AC144" s="7" t="b">
        <f>IF(Z$146=V144,AB$9*(AA144*X144))</f>
        <v>0</v>
      </c>
      <c r="AD144" s="7">
        <f>AB144-AC144</f>
        <v>0</v>
      </c>
      <c r="AE144" s="2"/>
      <c r="AF144" s="2"/>
      <c r="AG144" s="2"/>
      <c r="AH144" s="2"/>
      <c r="AI144" s="2"/>
      <c r="AJ144" s="11">
        <v>4</v>
      </c>
      <c r="AK144" s="7" t="s">
        <v>66</v>
      </c>
      <c r="AL144" s="7">
        <v>7.5399999999999995E-2</v>
      </c>
      <c r="AM144" s="7" t="str">
        <f>IF((AU$9=AK144),AJ144,"")</f>
        <v/>
      </c>
      <c r="AN144" s="7" t="str">
        <f>IFERROR(SMALL(AM$146:AM$163,AJ144),"")</f>
        <v/>
      </c>
      <c r="AO144" s="7">
        <f>39.57</f>
        <v>39.57</v>
      </c>
      <c r="AP144" s="7" t="b">
        <f>IF(AN$146=AJ144,AM$9*(AO144*AL144))</f>
        <v>0</v>
      </c>
      <c r="AQ144" s="7" t="b">
        <f>IF(AN$146=AJ144,AP$9*(AO144*AL144))</f>
        <v>0</v>
      </c>
      <c r="AR144" s="7">
        <f>AP144-AQ144</f>
        <v>0</v>
      </c>
      <c r="AS144" s="2"/>
      <c r="AT144" s="2"/>
      <c r="AU144" s="2"/>
      <c r="AV144" s="2"/>
      <c r="AX144" s="11">
        <v>4</v>
      </c>
      <c r="AY144" s="7" t="s">
        <v>66</v>
      </c>
      <c r="AZ144" s="7">
        <v>7.5399999999999995E-2</v>
      </c>
      <c r="BA144" s="7" t="str">
        <f>IF((BI$9=AY144),AX144,"")</f>
        <v/>
      </c>
      <c r="BB144" s="7" t="str">
        <f>IFERROR(SMALL(BA$146:BA$163,AX144),"")</f>
        <v/>
      </c>
      <c r="BC144" s="7">
        <f>39.57</f>
        <v>39.57</v>
      </c>
      <c r="BD144" s="7" t="b">
        <f>IF(BB$146=AX144,BA$9*(BC144*AZ144))</f>
        <v>0</v>
      </c>
      <c r="BE144" s="7" t="b">
        <f>IF(BB$146=AX144,BD$9*(BC144*AZ144))</f>
        <v>0</v>
      </c>
      <c r="BF144" s="7">
        <f>BD144-BE144</f>
        <v>0</v>
      </c>
      <c r="BG144" s="2"/>
      <c r="BH144" s="2"/>
      <c r="BI144" s="2"/>
      <c r="BL144" s="2"/>
      <c r="BM144" s="2"/>
    </row>
    <row r="145" spans="6:65" hidden="1">
      <c r="F145" s="11">
        <v>5</v>
      </c>
      <c r="G145" s="7" t="s">
        <v>67</v>
      </c>
      <c r="H145" s="7">
        <v>3.3500000000000002E-2</v>
      </c>
      <c r="I145" s="7" t="str">
        <f>IF((Q$9=G145),F145,"")</f>
        <v/>
      </c>
      <c r="J145" s="7" t="str">
        <f>IFERROR(SMALL(I$146:I$163,F145),"")</f>
        <v/>
      </c>
      <c r="K145" s="7">
        <f>87</f>
        <v>87</v>
      </c>
      <c r="L145" s="7" t="b">
        <f>IF(J$146=F145,I$9*(K145*H145))</f>
        <v>0</v>
      </c>
      <c r="M145" s="7" t="b">
        <f>IF(J$146=F145,L$9*(K145*H145))</f>
        <v>0</v>
      </c>
      <c r="N145" s="7">
        <f>L145-M145</f>
        <v>0</v>
      </c>
      <c r="O145" s="2"/>
      <c r="P145" s="2"/>
      <c r="Q145" s="2"/>
      <c r="R145" s="2"/>
      <c r="S145" s="2"/>
      <c r="T145" s="2"/>
      <c r="V145" s="11">
        <v>5</v>
      </c>
      <c r="W145" s="7" t="s">
        <v>67</v>
      </c>
      <c r="X145" s="7">
        <v>3.3500000000000002E-2</v>
      </c>
      <c r="Y145" s="7" t="str">
        <f>IF((AG$9=W145),V145,"")</f>
        <v/>
      </c>
      <c r="Z145" s="7" t="str">
        <f>IFERROR(SMALL(Y$146:Y$163,V145),"")</f>
        <v/>
      </c>
      <c r="AA145" s="7">
        <f>87</f>
        <v>87</v>
      </c>
      <c r="AB145" s="7" t="b">
        <f>IF(Z$146=V145,Y$9*(AA145*X145))</f>
        <v>0</v>
      </c>
      <c r="AC145" s="7" t="b">
        <f>IF(Z$146=V145,AB$9*(AA145*X145))</f>
        <v>0</v>
      </c>
      <c r="AD145" s="7">
        <f>AB145-AC145</f>
        <v>0</v>
      </c>
      <c r="AE145" s="2"/>
      <c r="AF145" s="2"/>
      <c r="AG145" s="2"/>
      <c r="AH145" s="2"/>
      <c r="AI145" s="2"/>
      <c r="AJ145" s="11">
        <v>5</v>
      </c>
      <c r="AK145" s="7" t="s">
        <v>67</v>
      </c>
      <c r="AL145" s="7">
        <v>3.3500000000000002E-2</v>
      </c>
      <c r="AM145" s="7" t="str">
        <f>IF((AU$9=AK145),AJ145,"")</f>
        <v/>
      </c>
      <c r="AN145" s="7" t="str">
        <f>IFERROR(SMALL(AM$146:AM$163,AJ145),"")</f>
        <v/>
      </c>
      <c r="AO145" s="7">
        <f>87</f>
        <v>87</v>
      </c>
      <c r="AP145" s="7" t="b">
        <f>IF(AN$146=AJ145,AM$9*(AO145*AL145))</f>
        <v>0</v>
      </c>
      <c r="AQ145" s="7" t="b">
        <f>IF(AN$146=AJ145,AP$9*(AO145*AL145))</f>
        <v>0</v>
      </c>
      <c r="AR145" s="7">
        <f>AP145-AQ145</f>
        <v>0</v>
      </c>
      <c r="AS145" s="2"/>
      <c r="AT145" s="2"/>
      <c r="AU145" s="2"/>
      <c r="AV145" s="2"/>
      <c r="AX145" s="11">
        <v>5</v>
      </c>
      <c r="AY145" s="7" t="s">
        <v>67</v>
      </c>
      <c r="AZ145" s="7">
        <v>3.3500000000000002E-2</v>
      </c>
      <c r="BA145" s="7" t="str">
        <f>IF((BI$9=AY145),AX145,"")</f>
        <v/>
      </c>
      <c r="BB145" s="7" t="str">
        <f>IFERROR(SMALL(BA$146:BA$163,AX145),"")</f>
        <v/>
      </c>
      <c r="BC145" s="7">
        <f>87</f>
        <v>87</v>
      </c>
      <c r="BD145" s="7" t="b">
        <f>IF(BB$146=AX145,BA$9*(BC145*AZ145))</f>
        <v>0</v>
      </c>
      <c r="BE145" s="7" t="b">
        <f>IF(BB$146=AX145,BD$9*(BC145*AZ145))</f>
        <v>0</v>
      </c>
      <c r="BF145" s="7">
        <f>BD145-BE145</f>
        <v>0</v>
      </c>
      <c r="BG145" s="2"/>
      <c r="BH145" s="2"/>
      <c r="BI145" s="2"/>
      <c r="BL145" s="2"/>
      <c r="BM145" s="2"/>
    </row>
    <row r="146" spans="6:65" hidden="1">
      <c r="F146" s="11">
        <v>6</v>
      </c>
      <c r="G146" s="7" t="s">
        <v>68</v>
      </c>
      <c r="H146" s="7">
        <v>5.2999999999999999E-2</v>
      </c>
      <c r="I146" s="7" t="str">
        <f>IF((Q$9=G146),F146,"")</f>
        <v/>
      </c>
      <c r="J146" s="7" t="str">
        <f>IFERROR(SMALL(I$146:I$163,F146),"")</f>
        <v/>
      </c>
      <c r="K146" s="7">
        <f>63</f>
        <v>63</v>
      </c>
      <c r="L146" s="7" t="b">
        <f>IF(J$146=F146,I$9*(K146*H146))</f>
        <v>0</v>
      </c>
      <c r="M146" s="7" t="b">
        <f>IF(J$146=F146,L$9*(K146*H146))</f>
        <v>0</v>
      </c>
      <c r="N146" s="7">
        <f>L146-M146</f>
        <v>0</v>
      </c>
      <c r="O146" s="2"/>
      <c r="P146" s="2"/>
      <c r="Q146" s="2"/>
      <c r="R146" s="2"/>
      <c r="S146" s="2"/>
      <c r="T146" s="2"/>
      <c r="V146" s="11">
        <v>6</v>
      </c>
      <c r="W146" s="7" t="s">
        <v>68</v>
      </c>
      <c r="X146" s="7">
        <v>5.2999999999999999E-2</v>
      </c>
      <c r="Y146" s="7" t="str">
        <f>IF((AG$9=W146),V146,"")</f>
        <v/>
      </c>
      <c r="Z146" s="7" t="str">
        <f>IFERROR(SMALL(Y$146:Y$163,V146),"")</f>
        <v/>
      </c>
      <c r="AA146" s="7">
        <f>63</f>
        <v>63</v>
      </c>
      <c r="AB146" s="7" t="b">
        <f>IF(Z$146=V146,Y$9*(AA146*X146))</f>
        <v>0</v>
      </c>
      <c r="AC146" s="7" t="b">
        <f>IF(Z$146=V146,AB$9*(AA146*X146))</f>
        <v>0</v>
      </c>
      <c r="AD146" s="7">
        <f>AB146-AC146</f>
        <v>0</v>
      </c>
      <c r="AE146" s="2"/>
      <c r="AF146" s="2"/>
      <c r="AG146" s="2"/>
      <c r="AH146" s="2"/>
      <c r="AI146" s="2"/>
      <c r="AJ146" s="11">
        <v>6</v>
      </c>
      <c r="AK146" s="7" t="s">
        <v>68</v>
      </c>
      <c r="AL146" s="7">
        <v>5.2999999999999999E-2</v>
      </c>
      <c r="AM146" s="7" t="str">
        <f>IF((AU$9=AK146),AJ146,"")</f>
        <v/>
      </c>
      <c r="AN146" s="7" t="str">
        <f>IFERROR(SMALL(AM$146:AM$163,AJ146),"")</f>
        <v/>
      </c>
      <c r="AO146" s="7">
        <f>63</f>
        <v>63</v>
      </c>
      <c r="AP146" s="7" t="b">
        <f>IF(AN$146=AJ146,AM$9*(AO146*AL146))</f>
        <v>0</v>
      </c>
      <c r="AQ146" s="7" t="b">
        <f>IF(AN$146=AJ146,AP$9*(AO146*AL146))</f>
        <v>0</v>
      </c>
      <c r="AR146" s="7">
        <f>AP146-AQ146</f>
        <v>0</v>
      </c>
      <c r="AS146" s="2"/>
      <c r="AT146" s="2"/>
      <c r="AU146" s="2"/>
      <c r="AV146" s="2"/>
      <c r="AX146" s="11">
        <v>6</v>
      </c>
      <c r="AY146" s="7" t="s">
        <v>68</v>
      </c>
      <c r="AZ146" s="7">
        <v>5.2999999999999999E-2</v>
      </c>
      <c r="BA146" s="7" t="str">
        <f>IF((BI$9=AY146),AX146,"")</f>
        <v/>
      </c>
      <c r="BB146" s="7" t="str">
        <f>IFERROR(SMALL(BA$146:BA$163,AX146),"")</f>
        <v/>
      </c>
      <c r="BC146" s="7">
        <f>63</f>
        <v>63</v>
      </c>
      <c r="BD146" s="7" t="b">
        <f>IF(BB$146=AX146,BA$9*(BC146*AZ146))</f>
        <v>0</v>
      </c>
      <c r="BE146" s="7" t="b">
        <f>IF(BB$146=AX146,BD$9*(BC146*AZ146))</f>
        <v>0</v>
      </c>
      <c r="BF146" s="7">
        <f>BD146-BE146</f>
        <v>0</v>
      </c>
      <c r="BG146" s="2"/>
      <c r="BH146" s="2"/>
      <c r="BI146" s="2"/>
      <c r="BL146" s="2"/>
      <c r="BM146" s="2"/>
    </row>
    <row r="147" spans="6:65" hidden="1">
      <c r="F147" s="2"/>
      <c r="G147" s="2"/>
      <c r="H147" s="2"/>
      <c r="I147" s="2"/>
      <c r="J147" s="2"/>
      <c r="K147" s="2"/>
      <c r="L147" s="2"/>
      <c r="M147" s="2"/>
      <c r="N147" s="2"/>
      <c r="O147" s="2"/>
      <c r="P147" s="2"/>
      <c r="Q147" s="2"/>
      <c r="R147" s="2"/>
      <c r="S147" s="2"/>
      <c r="T147" s="2"/>
      <c r="V147" s="2"/>
      <c r="W147" s="2"/>
      <c r="X147" s="2"/>
      <c r="Y147" s="2"/>
      <c r="Z147" s="2"/>
      <c r="AA147" s="2"/>
      <c r="AB147" s="2"/>
      <c r="AC147" s="2"/>
      <c r="AD147" s="2"/>
      <c r="AE147" s="2"/>
      <c r="AF147" s="2"/>
      <c r="AG147" s="2"/>
      <c r="AH147" s="2"/>
      <c r="AI147" s="2"/>
      <c r="AJ147" s="2"/>
      <c r="AK147" s="2"/>
      <c r="AL147" s="2"/>
      <c r="AM147" s="2"/>
      <c r="AN147" s="2"/>
      <c r="AO147" s="2"/>
      <c r="AP147" s="2"/>
      <c r="AQ147" s="2"/>
      <c r="AR147" s="2"/>
      <c r="AS147" s="2"/>
      <c r="AT147" s="2"/>
      <c r="AU147" s="2"/>
      <c r="AV147" s="2"/>
      <c r="AX147" s="2"/>
      <c r="AY147" s="2"/>
      <c r="AZ147" s="2"/>
      <c r="BA147" s="2"/>
      <c r="BB147" s="2"/>
      <c r="BC147" s="2"/>
      <c r="BD147" s="2"/>
      <c r="BE147" s="2"/>
      <c r="BF147" s="2"/>
      <c r="BG147" s="2"/>
      <c r="BH147" s="2"/>
      <c r="BI147" s="2"/>
      <c r="BL147" s="2"/>
      <c r="BM147" s="2"/>
    </row>
    <row r="148" spans="6:65" ht="21.6" hidden="1" customHeight="1">
      <c r="F148" s="2"/>
      <c r="G148" s="2"/>
      <c r="H148" s="2"/>
      <c r="I148" s="2"/>
      <c r="J148" s="2"/>
      <c r="K148" s="2"/>
      <c r="L148" s="2"/>
      <c r="M148" s="2"/>
      <c r="N148" s="2"/>
      <c r="O148" s="2"/>
      <c r="P148" s="2"/>
      <c r="Q148" s="2"/>
      <c r="R148" s="2"/>
      <c r="S148" s="2"/>
      <c r="T148" s="2"/>
      <c r="V148" s="2"/>
      <c r="W148" s="2"/>
      <c r="X148" s="2"/>
      <c r="Y148" s="2"/>
      <c r="Z148" s="2"/>
      <c r="AA148" s="2"/>
      <c r="AB148" s="2"/>
      <c r="AC148" s="2"/>
      <c r="AD148" s="2"/>
      <c r="AE148" s="2"/>
      <c r="AF148" s="2"/>
      <c r="AG148" s="2"/>
      <c r="AH148" s="2"/>
      <c r="AI148" s="2"/>
      <c r="AJ148" s="2"/>
      <c r="AK148" s="2"/>
      <c r="AL148" s="2"/>
      <c r="AM148" s="2"/>
      <c r="AN148" s="2"/>
      <c r="AO148" s="2"/>
      <c r="AP148" s="2"/>
      <c r="AQ148" s="2"/>
      <c r="AR148" s="2"/>
      <c r="AS148" s="2"/>
      <c r="AT148" s="2"/>
      <c r="AU148" s="2"/>
      <c r="AV148" s="2"/>
      <c r="AX148" s="2"/>
      <c r="AY148" s="2"/>
      <c r="AZ148" s="2"/>
      <c r="BA148" s="2"/>
      <c r="BB148" s="2"/>
      <c r="BC148" s="2"/>
      <c r="BD148" s="2"/>
      <c r="BE148" s="2"/>
      <c r="BF148" s="2"/>
      <c r="BG148" s="2"/>
      <c r="BH148" s="2"/>
      <c r="BI148" s="2"/>
      <c r="BL148" s="2"/>
      <c r="BM148" s="2"/>
    </row>
    <row r="149" spans="6:65" ht="21.6" hidden="1" customHeight="1">
      <c r="F149" s="2"/>
      <c r="G149" s="2"/>
      <c r="I149" s="2"/>
      <c r="J149" s="2"/>
      <c r="K149" s="2"/>
      <c r="L149" s="2"/>
      <c r="M149" s="2"/>
      <c r="N149" s="2"/>
      <c r="O149" s="2"/>
      <c r="P149" s="2"/>
      <c r="Q149" s="2"/>
      <c r="R149" s="2"/>
      <c r="S149" s="2"/>
      <c r="T149" s="2"/>
      <c r="V149" s="2"/>
      <c r="W149" s="2"/>
      <c r="X149" s="2"/>
      <c r="Y149" s="2"/>
      <c r="Z149" s="2"/>
      <c r="AA149" s="2"/>
      <c r="AB149" s="2"/>
      <c r="AC149" s="2"/>
      <c r="AD149" s="2"/>
      <c r="AE149" s="2"/>
      <c r="AF149" s="2"/>
      <c r="AG149" s="2"/>
      <c r="AH149" s="2"/>
      <c r="AI149" s="2"/>
      <c r="AJ149" s="2"/>
      <c r="AK149" s="2"/>
      <c r="AL149" s="2"/>
      <c r="AM149" s="2"/>
      <c r="AN149" s="2"/>
      <c r="AO149" s="2"/>
      <c r="AP149" s="2"/>
      <c r="AQ149" s="2"/>
      <c r="AR149" s="2"/>
      <c r="AS149" s="2"/>
      <c r="AT149" s="2"/>
      <c r="AU149" s="2"/>
      <c r="AV149" s="2"/>
      <c r="AX149" s="2"/>
      <c r="AY149" s="2"/>
      <c r="AZ149" s="2"/>
      <c r="BA149" s="2"/>
      <c r="BB149" s="2"/>
      <c r="BC149" s="2"/>
      <c r="BD149" s="2"/>
      <c r="BE149" s="2"/>
      <c r="BF149" s="2"/>
      <c r="BG149" s="2"/>
      <c r="BH149" s="2"/>
      <c r="BI149" s="2"/>
      <c r="BL149" s="2"/>
      <c r="BM149" s="2"/>
    </row>
    <row r="150" spans="6:65" hidden="1">
      <c r="H150" s="2" t="s">
        <v>55</v>
      </c>
    </row>
    <row r="151" spans="6:65" s="123" customFormat="1" ht="21.6" hidden="1" customHeight="1">
      <c r="F151" s="126"/>
      <c r="G151" s="127" t="s">
        <v>56</v>
      </c>
      <c r="H151" s="127" t="s">
        <v>70</v>
      </c>
      <c r="I151" s="126" t="s">
        <v>58</v>
      </c>
      <c r="J151" s="126" t="s">
        <v>58</v>
      </c>
      <c r="K151" s="127" t="s">
        <v>59</v>
      </c>
      <c r="L151" s="126" t="s">
        <v>60</v>
      </c>
      <c r="M151" s="126" t="s">
        <v>61</v>
      </c>
      <c r="N151" s="126" t="s">
        <v>62</v>
      </c>
      <c r="O151" s="126"/>
      <c r="P151" s="126"/>
      <c r="Q151" s="126"/>
      <c r="R151" s="126"/>
      <c r="S151" s="126"/>
      <c r="T151" s="126"/>
      <c r="V151" s="126"/>
      <c r="W151" s="127" t="s">
        <v>56</v>
      </c>
      <c r="X151" s="127" t="s">
        <v>70</v>
      </c>
      <c r="Y151" s="126" t="s">
        <v>58</v>
      </c>
      <c r="Z151" s="126" t="s">
        <v>58</v>
      </c>
      <c r="AA151" s="127" t="s">
        <v>59</v>
      </c>
      <c r="AB151" s="126" t="s">
        <v>60</v>
      </c>
      <c r="AC151" s="126" t="s">
        <v>61</v>
      </c>
      <c r="AD151" s="126" t="s">
        <v>62</v>
      </c>
      <c r="AE151" s="126"/>
      <c r="AF151" s="126"/>
      <c r="AG151" s="126"/>
      <c r="AH151" s="126"/>
      <c r="AI151" s="126"/>
      <c r="AJ151" s="126"/>
      <c r="AK151" s="127" t="s">
        <v>56</v>
      </c>
      <c r="AL151" s="127" t="s">
        <v>70</v>
      </c>
      <c r="AM151" s="126" t="s">
        <v>58</v>
      </c>
      <c r="AN151" s="126" t="s">
        <v>58</v>
      </c>
      <c r="AO151" s="127" t="s">
        <v>59</v>
      </c>
      <c r="AP151" s="126" t="s">
        <v>60</v>
      </c>
      <c r="AQ151" s="126" t="s">
        <v>61</v>
      </c>
      <c r="AR151" s="126" t="s">
        <v>62</v>
      </c>
      <c r="AS151" s="126"/>
      <c r="AT151" s="126"/>
      <c r="AU151" s="126"/>
      <c r="AV151" s="126"/>
      <c r="AX151" s="126"/>
      <c r="AY151" s="127" t="s">
        <v>56</v>
      </c>
      <c r="AZ151" s="127" t="s">
        <v>70</v>
      </c>
      <c r="BA151" s="126" t="s">
        <v>58</v>
      </c>
      <c r="BB151" s="126" t="s">
        <v>58</v>
      </c>
      <c r="BC151" s="127" t="s">
        <v>59</v>
      </c>
      <c r="BD151" s="126" t="s">
        <v>60</v>
      </c>
      <c r="BE151" s="126" t="s">
        <v>61</v>
      </c>
      <c r="BF151" s="126" t="s">
        <v>62</v>
      </c>
      <c r="BG151" s="126"/>
      <c r="BH151" s="126"/>
      <c r="BI151" s="126"/>
      <c r="BL151" s="126"/>
      <c r="BM151" s="126"/>
    </row>
    <row r="152" spans="6:65" s="123" customFormat="1" hidden="1">
      <c r="F152" s="126">
        <v>1</v>
      </c>
      <c r="G152" s="128" t="s">
        <v>63</v>
      </c>
      <c r="H152" s="126">
        <f>IF(I86=2, 0.4593, IF(I86=3, 0.242, IF(I86=4, 0.0926, IF(I86=5, 0.058, IF(I86=6, 0.058, IF(I86=7, 0.058, IF(I86=8, 0.058, IF(I86=9, 0.058, IF(I86=1, 0.12455,"")))))))))</f>
        <v>0.12454999999999999</v>
      </c>
      <c r="I152" s="128">
        <f>IF((J$11=G152),F152,"")</f>
        <v>1</v>
      </c>
      <c r="J152" s="128">
        <f t="shared" ref="J152:J157" si="61">IFERROR(SMALL(I$152:I$157,F152),"")</f>
        <v>1</v>
      </c>
      <c r="K152" s="128">
        <f>IF(I86=1, 64.25, IF(I86=2, 69.333, IF(I86=3, 69.333, IF(I86=4, 69.333, IF(I86=5, 64.25, IF(I86=6,64.25, IF(I86=7,64.25, IF(I86=8, 64.25, IF(I86=9, 64.25,"")))))))))</f>
        <v>64.25</v>
      </c>
      <c r="L152" s="3">
        <f>IF(J$152=F152,J$13*H152*9320)</f>
        <v>58040300</v>
      </c>
      <c r="M152" s="3">
        <f>IF(J$152=F152,J$14*H152*9320)</f>
        <v>0</v>
      </c>
      <c r="N152" s="3">
        <f>(((L152-M152)/1000)*0.000001)*J$7</f>
        <v>5.8040300000000003E-2</v>
      </c>
      <c r="O152" s="126" t="s">
        <v>64</v>
      </c>
      <c r="P152" s="126"/>
      <c r="Q152" s="126"/>
      <c r="R152" s="126"/>
      <c r="S152" s="126"/>
      <c r="T152" s="126"/>
      <c r="V152" s="126">
        <v>1</v>
      </c>
      <c r="W152" s="128" t="s">
        <v>63</v>
      </c>
      <c r="X152" s="126">
        <f>IF(Y86=2, 0.4593, IF(Y86=3, 0.242, IF(Y86=4, 0.0926, IF(Y86=5, 0.058, IF(Y86=6, 0.058, IF(Y86=7, 0.058, IF(Y86=8, 0.058, IF(Y86=9, 0.058, IF(Y86=1, 0.12455,"")))))))))</f>
        <v>0.12454999999999999</v>
      </c>
      <c r="Y152" s="128">
        <f>IF((K$11=W152),V152,"")</f>
        <v>1</v>
      </c>
      <c r="Z152" s="128">
        <f t="shared" ref="Z152:Z157" si="62">IFERROR(SMALL(Y$152:Y$157,V152),"")</f>
        <v>1</v>
      </c>
      <c r="AA152" s="128">
        <f>IF(Y86=1, 64.25, IF(Y86=2, 69.333, IF(Y86=3, 69.333, IF(Y86=4, 69.333, IF(Y86=5, 64.25, IF(Y86=6,64.25, IF(Y86=7,64.25, IF(Y86=8, 64.25, IF(Y86=9, 64.25,"")))))))))</f>
        <v>64.25</v>
      </c>
      <c r="AB152" s="3">
        <f>IF(Z$152=V152,K$13*X152*9320)</f>
        <v>58040300</v>
      </c>
      <c r="AC152" s="3">
        <f>IF(Z$152=V152,K$14*X152*9320)</f>
        <v>0</v>
      </c>
      <c r="AD152" s="3">
        <f>(((AB152-AC152)/1000)*0.000001)*K$7</f>
        <v>5.8040300000000003E-2</v>
      </c>
      <c r="AE152" s="126"/>
      <c r="AF152" s="126"/>
      <c r="AG152" s="126"/>
      <c r="AH152" s="126"/>
      <c r="AI152" s="126"/>
      <c r="AJ152" s="126">
        <v>1</v>
      </c>
      <c r="AK152" s="128" t="s">
        <v>63</v>
      </c>
      <c r="AL152" s="126">
        <f>IF(AM86=2, 0.4593, IF(AM86=3, 0.242, IF(AM86=4, 0.0926, IF(AM86=5, 0.058, IF(AM86=6, 0.058, IF(AM86=7, 0.058, IF(AM86=8, 0.058, IF(AM86=9, 0.058, IF(AM86=1, 0.12455,"")))))))))</f>
        <v>0.12454999999999999</v>
      </c>
      <c r="AM152" s="128">
        <f>IF((L$11=AK152),AJ152,"")</f>
        <v>1</v>
      </c>
      <c r="AN152" s="128">
        <f>IFERROR(SMALL(AM$152:AM$157,AJ152),"")</f>
        <v>1</v>
      </c>
      <c r="AO152" s="128">
        <f>IF(AM86=1, 64.25, IF(AM86=2, 69.333, IF(AM86=3, 69.333, IF(AM86=4, 69.333, IF(AM86=5, 64.25, IF(AM86=6,64.25, IF(AM86=7,64.25, IF(AM86=8, 64.25, IF(AM86=9, 64.25,"")))))))))</f>
        <v>64.25</v>
      </c>
      <c r="AP152" s="3">
        <f>IF(AN$152=AJ152,L$13*AL152*9320)</f>
        <v>58040300</v>
      </c>
      <c r="AQ152" s="3">
        <f>IF(AN$152=AJ152,L$14*AL152*9320)</f>
        <v>0</v>
      </c>
      <c r="AR152" s="3">
        <f>(((AP152-AQ152)/1000)*0.000001)*L$7</f>
        <v>5.8040300000000003E-2</v>
      </c>
      <c r="AS152" s="126"/>
      <c r="AT152" s="126"/>
      <c r="AU152" s="126"/>
      <c r="AV152" s="126"/>
      <c r="AX152" s="126">
        <v>1</v>
      </c>
      <c r="AY152" s="128" t="s">
        <v>63</v>
      </c>
      <c r="AZ152" s="126">
        <f>IF(BA86=2, 0.4593, IF(BA86=3, 0.242, IF(BA86=4, 0.0926, IF(BA86=5, 0.058, IF(BA86=6, 0.058, IF(BA86=7, 0.058, IF(BA86=8, 0.058, IF(BA86=9, 0.058, IF(BA86=1, 0.12455,"")))))))))</f>
        <v>0.12454999999999999</v>
      </c>
      <c r="BA152" s="128">
        <f>IF((M$11=AY152),AX152,"")</f>
        <v>1</v>
      </c>
      <c r="BB152" s="128">
        <f t="shared" ref="BB152:BB157" si="63">IFERROR(SMALL(BA$152:BA$157,AX152),"")</f>
        <v>1</v>
      </c>
      <c r="BC152" s="128">
        <f>IF(BA86=1, 64.25, IF(BA86=2, 69.333, IF(BA86=3, 69.333, IF(BA86=4, 69.333, IF(BA86=5, 64.25, IF(BA86=6,64.25, IF(BA86=7,64.25, IF(BA86=8, 64.25, IF(BA86=9, 64.25,"")))))))))</f>
        <v>64.25</v>
      </c>
      <c r="BD152" s="3">
        <f>IF(BB$152=AX152,M$13*AZ152*9320)</f>
        <v>58040300</v>
      </c>
      <c r="BE152" s="3">
        <f>IF(BB$152=AX152,M$14*AZ152*9320)</f>
        <v>0</v>
      </c>
      <c r="BF152" s="3">
        <f>(((BD152-BE152)/1000)*0.000001)*M$7</f>
        <v>5.8040300000000003E-2</v>
      </c>
      <c r="BG152" s="126"/>
      <c r="BH152" s="126"/>
      <c r="BI152" s="126"/>
      <c r="BL152" s="126"/>
      <c r="BM152" s="126"/>
    </row>
    <row r="153" spans="6:65" s="123" customFormat="1" hidden="1">
      <c r="F153" s="126">
        <v>2</v>
      </c>
      <c r="G153" s="128" t="s">
        <v>106</v>
      </c>
      <c r="H153" s="126">
        <f>IF(I86=2, 0.69, IF(I86=3, 0.716, IF(I86=4, 0.7715, IF(I86=5, 0.58, IF(I86=6, 0.55, IF(I86=7, 0.45, IF(I86=8, 0.35, IF(I86=9, 0.17, IF(I86=1, 0.50738,"")))))))))</f>
        <v>0.50738000000000005</v>
      </c>
      <c r="I153" s="128" t="str">
        <f>IF((J$11=G153),F153,"")</f>
        <v/>
      </c>
      <c r="J153" s="128" t="str">
        <f t="shared" si="61"/>
        <v/>
      </c>
      <c r="K153" s="128">
        <f>IF(I86=1, 55.333, IF(I86=2, 64, IF(I86=3, 64, IF(I86=4, 64, IF(I86=5, 55.333, IF(I86=6,55.333, IF(I86=7,55.333, IF(I86=8, 55.333, IF(I86=9, 55.333,"")))))))))</f>
        <v>55.332999999999998</v>
      </c>
      <c r="L153" s="3" t="b">
        <f>IF(J$152=F153,J$13*H153*14415)</f>
        <v>0</v>
      </c>
      <c r="M153" s="3" t="b">
        <f>IF(J$152=F153,J$14*H153*14415)</f>
        <v>0</v>
      </c>
      <c r="N153" s="3">
        <f>(((L153-M153)/1000)*0.000001)*J$7</f>
        <v>0</v>
      </c>
      <c r="O153" s="126" t="s">
        <v>64</v>
      </c>
      <c r="P153" s="126"/>
      <c r="Q153" s="126"/>
      <c r="R153" s="126"/>
      <c r="S153" s="126"/>
      <c r="T153" s="126"/>
      <c r="V153" s="126">
        <v>2</v>
      </c>
      <c r="W153" s="128" t="s">
        <v>106</v>
      </c>
      <c r="X153" s="126">
        <f>IF(Y86=2, 0.69, IF(Y86=3, 0.716, IF(Y86=4, 0.7715, IF(Y86=5, 0.58, IF(Y86=6, 0.55, IF(Y86=7, 0.45, IF(Y86=8, 0.35, IF(Y86=9, 0.17, IF(Y86=1, 0.50738,"")))))))))</f>
        <v>0.50738000000000005</v>
      </c>
      <c r="Y153" s="128" t="str">
        <f t="shared" ref="Y153:Y157" si="64">IF((K$11=W153),V153,"")</f>
        <v/>
      </c>
      <c r="Z153" s="128" t="str">
        <f t="shared" si="62"/>
        <v/>
      </c>
      <c r="AA153" s="128">
        <f>IF(Y86=1, 55.333, IF(Y86=2, 64, IF(Y86=3, 64, IF(Y86=4, 64, IF(Y86=5, 55.333, IF(Y86=6,55.333, IF(Y86=7,55.333, IF(Y86=8, 55.333, IF(Y86=9, 55.333,"")))))))))</f>
        <v>55.332999999999998</v>
      </c>
      <c r="AB153" s="3" t="b">
        <f>IF(Z$152=V153,K$13*X153*14415)</f>
        <v>0</v>
      </c>
      <c r="AC153" s="3" t="b">
        <f>IF(Z$152=V153,K$14*X153*14415)</f>
        <v>0</v>
      </c>
      <c r="AD153" s="3">
        <f>(((AB153-AC153)/1000)*0.000001)*K$7</f>
        <v>0</v>
      </c>
      <c r="AE153" s="126"/>
      <c r="AF153" s="126"/>
      <c r="AG153" s="126"/>
      <c r="AH153" s="126"/>
      <c r="AI153" s="126"/>
      <c r="AJ153" s="126">
        <v>2</v>
      </c>
      <c r="AK153" s="128" t="s">
        <v>106</v>
      </c>
      <c r="AL153" s="126">
        <f>IF(AM86=2, 0.69, IF(AM86=3, 0.716, IF(AM86=4, 0.7715, IF(AM86=5, 0.58, IF(AM86=6, 0.55, IF(AM86=7, 0.45, IF(AM86=8, 0.35, IF(AM86=9, 0.17, IF(AM86=1, 0.50738,"")))))))))</f>
        <v>0.50738000000000005</v>
      </c>
      <c r="AM153" s="128" t="str">
        <f t="shared" ref="AM153:AM157" si="65">IF((L$11=AK153),AJ153,"")</f>
        <v/>
      </c>
      <c r="AN153" s="128" t="str">
        <f>IFERROR(SMALL(AM$152:AM$157,AJ153),"")</f>
        <v/>
      </c>
      <c r="AO153" s="128">
        <f>IF(AM86=1, 55.333, IF(AM86=2, 64, IF(AM86=3, 64, IF(AM86=4, 64, IF(AM86=5, 55.333, IF(AM86=6,55.333, IF(AM86=7,55.333, IF(AM86=8, 55.333, IF(AM86=9, 55.333,"")))))))))</f>
        <v>55.332999999999998</v>
      </c>
      <c r="AP153" s="3" t="b">
        <f>IF(AN$152=AJ153,L$13*AL153*14415)</f>
        <v>0</v>
      </c>
      <c r="AQ153" s="3" t="b">
        <f>IF(AN$152=AJ153,L$14*AL153*14415)</f>
        <v>0</v>
      </c>
      <c r="AR153" s="3">
        <f>(((AP153-AQ153)/1000)*0.000001)*L$7</f>
        <v>0</v>
      </c>
      <c r="AS153" s="126"/>
      <c r="AT153" s="126"/>
      <c r="AU153" s="126"/>
      <c r="AV153" s="126"/>
      <c r="AX153" s="126">
        <v>2</v>
      </c>
      <c r="AY153" s="128" t="s">
        <v>106</v>
      </c>
      <c r="AZ153" s="126">
        <f>IF(BA86=2, 0.69, IF(BA86=3, 0.716, IF(BA86=4, 0.7715, IF(BA86=5, 0.58, IF(BA86=6, 0.55, IF(BA86=7, 0.45, IF(BA86=8, 0.35, IF(BA86=9, 0.17, IF(BA86=1, 0.50738,"")))))))))</f>
        <v>0.50738000000000005</v>
      </c>
      <c r="BA153" s="128" t="str">
        <f t="shared" ref="BA153:BA157" si="66">IF((M$11=AY153),AX153,"")</f>
        <v/>
      </c>
      <c r="BB153" s="128" t="str">
        <f t="shared" si="63"/>
        <v/>
      </c>
      <c r="BC153" s="128">
        <f>IF(BA86=1, 55.333, IF(BA86=2, 64, IF(BA86=3, 64, IF(BA86=4, 64, IF(BA86=5, 55.333, IF(BA86=6,55.333, IF(BA86=7,55.333, IF(BA86=8, 55.333, IF(BA86=9, 55.333,"")))))))))</f>
        <v>55.332999999999998</v>
      </c>
      <c r="BD153" s="3" t="b">
        <f>IF(BB$152=AX153,M$13*AZ153*14415)</f>
        <v>0</v>
      </c>
      <c r="BE153" s="3" t="b">
        <f>IF(BB$152=AX153,M$14*AZ153*14415)</f>
        <v>0</v>
      </c>
      <c r="BF153" s="3">
        <f>(((BD153-BE153)/1000)*0.000001)*M$7</f>
        <v>0</v>
      </c>
      <c r="BG153" s="126"/>
      <c r="BH153" s="126"/>
      <c r="BI153" s="126"/>
      <c r="BL153" s="126"/>
      <c r="BM153" s="126"/>
    </row>
    <row r="154" spans="6:65" s="123" customFormat="1" hidden="1">
      <c r="F154" s="126">
        <v>3</v>
      </c>
      <c r="G154" s="128" t="s">
        <v>65</v>
      </c>
      <c r="H154" s="128">
        <f>IF(N86=2, 0.414, IF(N86=3, 0.18, IF(N86=4, 0.09, IF(N86=5, 0.056, IF(N86=6, 0.056, IF(N86=7, 0.056, IF(N86=1, 0.142, "")))))))</f>
        <v>0.14199999999999999</v>
      </c>
      <c r="I154" s="128" t="str">
        <f>IF((J$11=G154),F154,"")</f>
        <v/>
      </c>
      <c r="J154" s="128" t="str">
        <f t="shared" si="61"/>
        <v/>
      </c>
      <c r="K154" s="128">
        <f>57</f>
        <v>57</v>
      </c>
      <c r="L154" s="3" t="b">
        <f>IF(J$152=F154,J$13*H154*12310)</f>
        <v>0</v>
      </c>
      <c r="M154" s="3" t="b">
        <f>IF(J$152=F154,J$14*H154*12310)</f>
        <v>0</v>
      </c>
      <c r="N154" s="3">
        <f>(((L154-M154)/1000)*0.000001)*J$7</f>
        <v>0</v>
      </c>
      <c r="O154" s="126" t="s">
        <v>64</v>
      </c>
      <c r="P154" s="126"/>
      <c r="Q154" s="126"/>
      <c r="R154" s="126"/>
      <c r="S154" s="126"/>
      <c r="T154" s="126"/>
      <c r="V154" s="126">
        <v>3</v>
      </c>
      <c r="W154" s="128" t="s">
        <v>65</v>
      </c>
      <c r="X154" s="128">
        <f>IF(AD86=2, 0.414, IF(AD86=3, 0.18, IF(AD86=4, 0.09, IF(AD86=5, 0.056, IF(AD86=6, 0.056, IF(AD86=7, 0.056, IF(AD86=1, 0.142, "")))))))</f>
        <v>0.14199999999999999</v>
      </c>
      <c r="Y154" s="128" t="str">
        <f t="shared" si="64"/>
        <v/>
      </c>
      <c r="Z154" s="128" t="str">
        <f t="shared" si="62"/>
        <v/>
      </c>
      <c r="AA154" s="128">
        <f>57</f>
        <v>57</v>
      </c>
      <c r="AB154" s="3" t="b">
        <f>IF(Z$152=V154,K$13*X154*12310)</f>
        <v>0</v>
      </c>
      <c r="AC154" s="3" t="b">
        <f>IF(Z$152=V154,K$14*X154*12310)</f>
        <v>0</v>
      </c>
      <c r="AD154" s="3">
        <f>(((AB154-AC154)/1000)*0.000001)*K$7</f>
        <v>0</v>
      </c>
      <c r="AE154" s="126"/>
      <c r="AF154" s="126"/>
      <c r="AG154" s="126"/>
      <c r="AH154" s="126"/>
      <c r="AI154" s="126"/>
      <c r="AJ154" s="126">
        <v>3</v>
      </c>
      <c r="AK154" s="128" t="s">
        <v>65</v>
      </c>
      <c r="AL154" s="128">
        <f>IF(AR86=2, 0.414, IF(AR86=3, 0.18, IF(AR86=4, 0.09, IF(AR86=5, 0.056, IF(AR86=6, 0.056, IF(AR86=7, 0.056, IF(AR86=1, 0.142, "")))))))</f>
        <v>0.14199999999999999</v>
      </c>
      <c r="AM154" s="128" t="str">
        <f t="shared" si="65"/>
        <v/>
      </c>
      <c r="AN154" s="128" t="str">
        <f t="shared" ref="AN154:AN157" si="67">IFERROR(SMALL(AM$152:AM$157,AJ154),"")</f>
        <v/>
      </c>
      <c r="AO154" s="128">
        <f>57</f>
        <v>57</v>
      </c>
      <c r="AP154" s="3" t="b">
        <f>IF(AN$152=AJ154,L$13*AL154*12310)</f>
        <v>0</v>
      </c>
      <c r="AQ154" s="3" t="b">
        <f>IF(AN$152=AJ154,L$14*AL154*12310)</f>
        <v>0</v>
      </c>
      <c r="AR154" s="3">
        <f>(((AP154-AQ154)/1000)*0.000001)*L$7</f>
        <v>0</v>
      </c>
      <c r="AS154" s="126"/>
      <c r="AT154" s="126"/>
      <c r="AU154" s="126"/>
      <c r="AV154" s="126"/>
      <c r="AX154" s="126">
        <v>3</v>
      </c>
      <c r="AY154" s="128" t="s">
        <v>65</v>
      </c>
      <c r="AZ154" s="128">
        <f>IF(BF86=2, 0.414, IF(BF86=3, 0.18, IF(BF86=4, 0.09, IF(BF86=5, 0.056, IF(BF86=6, 0.056, IF(BF86=7, 0.056, IF(BF86=1, 0.142, "")))))))</f>
        <v>0.14199999999999999</v>
      </c>
      <c r="BA154" s="128" t="str">
        <f t="shared" si="66"/>
        <v/>
      </c>
      <c r="BB154" s="128" t="str">
        <f t="shared" si="63"/>
        <v/>
      </c>
      <c r="BC154" s="128">
        <f>57</f>
        <v>57</v>
      </c>
      <c r="BD154" s="3" t="b">
        <f>IF(BB$152=AX154,M$13*AZ154*12310)</f>
        <v>0</v>
      </c>
      <c r="BE154" s="3" t="b">
        <f>IF(BB$152=AX154,M$14*AZ154*12310)</f>
        <v>0</v>
      </c>
      <c r="BF154" s="3">
        <f>(((BD154-BE154)/1000)*0.000001)*M$7</f>
        <v>0</v>
      </c>
      <c r="BG154" s="126"/>
      <c r="BH154" s="126"/>
      <c r="BI154" s="126"/>
      <c r="BL154" s="126"/>
      <c r="BM154" s="126"/>
    </row>
    <row r="155" spans="6:65" s="123" customFormat="1" hidden="1">
      <c r="F155" s="126">
        <v>4</v>
      </c>
      <c r="G155" s="128" t="s">
        <v>66</v>
      </c>
      <c r="H155" s="128">
        <v>7.5399999999999995E-2</v>
      </c>
      <c r="I155" s="128" t="str">
        <f>IF((Q$11=G155),F155,"")</f>
        <v/>
      </c>
      <c r="J155" s="128" t="str">
        <f t="shared" si="61"/>
        <v/>
      </c>
      <c r="K155" s="128">
        <f>39.57</f>
        <v>39.57</v>
      </c>
      <c r="L155" s="128" t="b">
        <f>IF(J$157=F155,I$9*(K155*H155))</f>
        <v>0</v>
      </c>
      <c r="M155" s="128" t="b">
        <f>IF(J$157=F155,L$9*(K155*H155))</f>
        <v>0</v>
      </c>
      <c r="N155" s="128">
        <f>L155-M155</f>
        <v>0</v>
      </c>
      <c r="O155" s="126"/>
      <c r="P155" s="126"/>
      <c r="Q155" s="126"/>
      <c r="R155" s="126"/>
      <c r="S155" s="126"/>
      <c r="T155" s="126"/>
      <c r="V155" s="126">
        <v>4</v>
      </c>
      <c r="W155" s="128" t="s">
        <v>66</v>
      </c>
      <c r="X155" s="128">
        <v>7.5399999999999995E-2</v>
      </c>
      <c r="Y155" s="128" t="str">
        <f t="shared" si="64"/>
        <v/>
      </c>
      <c r="Z155" s="128" t="str">
        <f t="shared" si="62"/>
        <v/>
      </c>
      <c r="AA155" s="128">
        <f>39.57</f>
        <v>39.57</v>
      </c>
      <c r="AB155" s="128" t="b">
        <f>IF(Z$157=V155,Y$9*(AA155*X155))</f>
        <v>0</v>
      </c>
      <c r="AC155" s="128" t="b">
        <f>IF(Z$157=V155,AB$9*(AA155*X155))</f>
        <v>0</v>
      </c>
      <c r="AD155" s="128">
        <f>AB155-AC155</f>
        <v>0</v>
      </c>
      <c r="AE155" s="126"/>
      <c r="AF155" s="126"/>
      <c r="AG155" s="126"/>
      <c r="AH155" s="126"/>
      <c r="AI155" s="126"/>
      <c r="AJ155" s="126">
        <v>4</v>
      </c>
      <c r="AK155" s="128" t="s">
        <v>66</v>
      </c>
      <c r="AL155" s="128">
        <v>7.5399999999999995E-2</v>
      </c>
      <c r="AM155" s="128" t="str">
        <f t="shared" si="65"/>
        <v/>
      </c>
      <c r="AN155" s="128" t="str">
        <f t="shared" si="67"/>
        <v/>
      </c>
      <c r="AO155" s="128">
        <f>39.57</f>
        <v>39.57</v>
      </c>
      <c r="AP155" s="128" t="b">
        <f>IF(AN$157=AJ155,AM$9*(AO155*AL155))</f>
        <v>0</v>
      </c>
      <c r="AQ155" s="128" t="b">
        <f>IF(AN$157=AJ155,AP$9*(AO155*AL155))</f>
        <v>0</v>
      </c>
      <c r="AR155" s="128">
        <f>AP155-AQ155</f>
        <v>0</v>
      </c>
      <c r="AS155" s="126"/>
      <c r="AT155" s="126"/>
      <c r="AU155" s="126"/>
      <c r="AV155" s="126"/>
      <c r="AX155" s="126">
        <v>4</v>
      </c>
      <c r="AY155" s="128" t="s">
        <v>66</v>
      </c>
      <c r="AZ155" s="128">
        <v>7.5399999999999995E-2</v>
      </c>
      <c r="BA155" s="128" t="str">
        <f t="shared" si="66"/>
        <v/>
      </c>
      <c r="BB155" s="128" t="str">
        <f t="shared" si="63"/>
        <v/>
      </c>
      <c r="BC155" s="128">
        <f>39.57</f>
        <v>39.57</v>
      </c>
      <c r="BD155" s="128" t="b">
        <f>IF(BB$157=AX155,BA$9*(BC155*AZ155))</f>
        <v>0</v>
      </c>
      <c r="BE155" s="128" t="b">
        <f>IF(BB$157=AX155,BD$9*(BC155*AZ155))</f>
        <v>0</v>
      </c>
      <c r="BF155" s="128">
        <f>BD155-BE155</f>
        <v>0</v>
      </c>
      <c r="BG155" s="126"/>
      <c r="BH155" s="126"/>
      <c r="BI155" s="126"/>
      <c r="BL155" s="126"/>
      <c r="BM155" s="126"/>
    </row>
    <row r="156" spans="6:65" s="123" customFormat="1" hidden="1">
      <c r="F156" s="126">
        <v>5</v>
      </c>
      <c r="G156" s="128" t="s">
        <v>67</v>
      </c>
      <c r="H156" s="128">
        <v>3.3500000000000002E-2</v>
      </c>
      <c r="I156" s="128" t="str">
        <f>IF((Q$11=G156),F156,"")</f>
        <v/>
      </c>
      <c r="J156" s="128" t="str">
        <f t="shared" si="61"/>
        <v/>
      </c>
      <c r="K156" s="128">
        <f>87</f>
        <v>87</v>
      </c>
      <c r="L156" s="128" t="b">
        <f>IF(J$157=F156,I$9*(K156*H156))</f>
        <v>0</v>
      </c>
      <c r="M156" s="128" t="b">
        <f>IF(J$157=F156,L$9*(K156*H156))</f>
        <v>0</v>
      </c>
      <c r="N156" s="128">
        <f t="shared" ref="N156:N157" si="68">L156-M156</f>
        <v>0</v>
      </c>
      <c r="O156" s="126"/>
      <c r="P156" s="126"/>
      <c r="Q156" s="126"/>
      <c r="R156" s="126"/>
      <c r="S156" s="126"/>
      <c r="T156" s="126"/>
      <c r="V156" s="126">
        <v>5</v>
      </c>
      <c r="W156" s="128" t="s">
        <v>67</v>
      </c>
      <c r="X156" s="128">
        <v>3.3500000000000002E-2</v>
      </c>
      <c r="Y156" s="128" t="str">
        <f t="shared" si="64"/>
        <v/>
      </c>
      <c r="Z156" s="128" t="str">
        <f t="shared" si="62"/>
        <v/>
      </c>
      <c r="AA156" s="128">
        <f>87</f>
        <v>87</v>
      </c>
      <c r="AB156" s="128" t="b">
        <f>IF(Z$157=V156,Y$9*(AA156*X156))</f>
        <v>0</v>
      </c>
      <c r="AC156" s="128" t="b">
        <f>IF(Z$157=V156,AB$9*(AA156*X156))</f>
        <v>0</v>
      </c>
      <c r="AD156" s="128">
        <f t="shared" ref="AD156:AD157" si="69">AB156-AC156</f>
        <v>0</v>
      </c>
      <c r="AE156" s="126"/>
      <c r="AF156" s="126"/>
      <c r="AG156" s="126"/>
      <c r="AH156" s="126"/>
      <c r="AI156" s="126"/>
      <c r="AJ156" s="126">
        <v>5</v>
      </c>
      <c r="AK156" s="128" t="s">
        <v>67</v>
      </c>
      <c r="AL156" s="128">
        <v>3.3500000000000002E-2</v>
      </c>
      <c r="AM156" s="128" t="str">
        <f t="shared" si="65"/>
        <v/>
      </c>
      <c r="AN156" s="128" t="str">
        <f t="shared" si="67"/>
        <v/>
      </c>
      <c r="AO156" s="128">
        <f>87</f>
        <v>87</v>
      </c>
      <c r="AP156" s="128" t="b">
        <f>IF(AN$157=AJ156,AM$9*(AO156*AL156))</f>
        <v>0</v>
      </c>
      <c r="AQ156" s="128" t="b">
        <f>IF(AN$157=AJ156,AP$9*(AO156*AL156))</f>
        <v>0</v>
      </c>
      <c r="AR156" s="128">
        <f t="shared" ref="AR156:AR157" si="70">AP156-AQ156</f>
        <v>0</v>
      </c>
      <c r="AS156" s="126"/>
      <c r="AT156" s="126"/>
      <c r="AU156" s="126"/>
      <c r="AV156" s="126"/>
      <c r="AX156" s="126">
        <v>5</v>
      </c>
      <c r="AY156" s="128" t="s">
        <v>67</v>
      </c>
      <c r="AZ156" s="128">
        <v>3.3500000000000002E-2</v>
      </c>
      <c r="BA156" s="128" t="str">
        <f t="shared" si="66"/>
        <v/>
      </c>
      <c r="BB156" s="128" t="str">
        <f t="shared" si="63"/>
        <v/>
      </c>
      <c r="BC156" s="128">
        <f>87</f>
        <v>87</v>
      </c>
      <c r="BD156" s="128" t="b">
        <f>IF(BB$157=AX156,BA$9*(BC156*AZ156))</f>
        <v>0</v>
      </c>
      <c r="BE156" s="128" t="b">
        <f>IF(BB$157=AX156,BD$9*(BC156*AZ156))</f>
        <v>0</v>
      </c>
      <c r="BF156" s="128">
        <f t="shared" ref="BF156:BF157" si="71">BD156-BE156</f>
        <v>0</v>
      </c>
      <c r="BG156" s="126"/>
      <c r="BH156" s="126"/>
      <c r="BI156" s="126"/>
      <c r="BL156" s="126"/>
      <c r="BM156" s="126"/>
    </row>
    <row r="157" spans="6:65" s="123" customFormat="1" hidden="1">
      <c r="F157" s="126">
        <v>6</v>
      </c>
      <c r="G157" s="128" t="s">
        <v>68</v>
      </c>
      <c r="H157" s="128">
        <v>5.2999999999999999E-2</v>
      </c>
      <c r="I157" s="128" t="str">
        <f>IF((Q$11=G157),F157,"")</f>
        <v/>
      </c>
      <c r="J157" s="128" t="str">
        <f t="shared" si="61"/>
        <v/>
      </c>
      <c r="K157" s="128">
        <f>63</f>
        <v>63</v>
      </c>
      <c r="L157" s="128" t="b">
        <f>IF(J$157=F157,I$9*(K157*H157))</f>
        <v>0</v>
      </c>
      <c r="M157" s="128" t="b">
        <f>IF(J$157=F157,L$9*(K157*H157))</f>
        <v>0</v>
      </c>
      <c r="N157" s="128">
        <f t="shared" si="68"/>
        <v>0</v>
      </c>
      <c r="O157" s="126"/>
      <c r="P157" s="126"/>
      <c r="Q157" s="126"/>
      <c r="R157" s="126"/>
      <c r="S157" s="126"/>
      <c r="T157" s="126"/>
      <c r="V157" s="126">
        <v>6</v>
      </c>
      <c r="W157" s="128" t="s">
        <v>68</v>
      </c>
      <c r="X157" s="128">
        <v>5.2999999999999999E-2</v>
      </c>
      <c r="Y157" s="128" t="str">
        <f t="shared" si="64"/>
        <v/>
      </c>
      <c r="Z157" s="128" t="str">
        <f t="shared" si="62"/>
        <v/>
      </c>
      <c r="AA157" s="128">
        <f>63</f>
        <v>63</v>
      </c>
      <c r="AB157" s="128" t="b">
        <f>IF(Z$157=V157,Y$9*(AA157*X157))</f>
        <v>0</v>
      </c>
      <c r="AC157" s="128" t="b">
        <f>IF(Z$157=V157,AB$9*(AA157*X157))</f>
        <v>0</v>
      </c>
      <c r="AD157" s="128">
        <f t="shared" si="69"/>
        <v>0</v>
      </c>
      <c r="AE157" s="126"/>
      <c r="AF157" s="126"/>
      <c r="AG157" s="126"/>
      <c r="AH157" s="126"/>
      <c r="AI157" s="126"/>
      <c r="AJ157" s="126">
        <v>6</v>
      </c>
      <c r="AK157" s="128" t="s">
        <v>68</v>
      </c>
      <c r="AL157" s="128">
        <v>5.2999999999999999E-2</v>
      </c>
      <c r="AM157" s="128" t="str">
        <f t="shared" si="65"/>
        <v/>
      </c>
      <c r="AN157" s="128" t="str">
        <f t="shared" si="67"/>
        <v/>
      </c>
      <c r="AO157" s="128">
        <f>63</f>
        <v>63</v>
      </c>
      <c r="AP157" s="128" t="b">
        <f>IF(AN$157=AJ157,AM$9*(AO157*AL157))</f>
        <v>0</v>
      </c>
      <c r="AQ157" s="128" t="b">
        <f>IF(AN$157=AJ157,AP$9*(AO157*AL157))</f>
        <v>0</v>
      </c>
      <c r="AR157" s="128">
        <f t="shared" si="70"/>
        <v>0</v>
      </c>
      <c r="AS157" s="126"/>
      <c r="AT157" s="126"/>
      <c r="AU157" s="126"/>
      <c r="AV157" s="126"/>
      <c r="AX157" s="126">
        <v>6</v>
      </c>
      <c r="AY157" s="128" t="s">
        <v>68</v>
      </c>
      <c r="AZ157" s="128">
        <v>5.2999999999999999E-2</v>
      </c>
      <c r="BA157" s="128" t="str">
        <f t="shared" si="66"/>
        <v/>
      </c>
      <c r="BB157" s="128" t="str">
        <f t="shared" si="63"/>
        <v/>
      </c>
      <c r="BC157" s="128">
        <f>63</f>
        <v>63</v>
      </c>
      <c r="BD157" s="128" t="b">
        <f>IF(BB$157=AX157,BA$9*(BC157*AZ157))</f>
        <v>0</v>
      </c>
      <c r="BE157" s="128" t="b">
        <f>IF(BB$157=AX157,BD$9*(BC157*AZ157))</f>
        <v>0</v>
      </c>
      <c r="BF157" s="128">
        <f t="shared" si="71"/>
        <v>0</v>
      </c>
      <c r="BG157" s="126"/>
      <c r="BH157" s="126"/>
      <c r="BI157" s="126"/>
      <c r="BL157" s="126"/>
      <c r="BM157" s="126"/>
    </row>
    <row r="158" spans="6:65" s="122" customFormat="1" ht="15.75" hidden="1" thickBot="1">
      <c r="F158" s="121"/>
      <c r="G158" s="121"/>
      <c r="H158" s="121"/>
      <c r="I158" s="121"/>
      <c r="J158" s="121"/>
      <c r="K158" s="121"/>
      <c r="L158" s="121"/>
      <c r="M158" s="121"/>
      <c r="N158" s="121"/>
      <c r="O158" s="121"/>
      <c r="P158" s="121"/>
      <c r="Q158" s="121"/>
      <c r="R158" s="121"/>
      <c r="S158" s="121"/>
      <c r="T158" s="121"/>
      <c r="V158" s="121"/>
      <c r="W158" s="121"/>
      <c r="X158" s="121"/>
      <c r="Y158" s="121"/>
      <c r="Z158" s="121"/>
      <c r="AA158" s="121"/>
      <c r="AB158" s="121"/>
      <c r="AC158" s="121"/>
      <c r="AD158" s="121"/>
      <c r="AE158" s="121"/>
      <c r="AF158" s="121"/>
      <c r="AG158" s="121"/>
      <c r="AH158" s="121"/>
      <c r="AI158" s="121"/>
      <c r="AJ158" s="121"/>
      <c r="AK158" s="121"/>
      <c r="AL158" s="121"/>
      <c r="AM158" s="121"/>
      <c r="AN158" s="121"/>
      <c r="AO158" s="121"/>
      <c r="AP158" s="121"/>
      <c r="AQ158" s="121"/>
      <c r="AR158" s="121"/>
      <c r="AS158" s="121"/>
      <c r="AT158" s="121"/>
      <c r="AU158" s="121"/>
      <c r="AV158" s="121"/>
      <c r="AX158" s="121"/>
      <c r="AY158" s="121"/>
      <c r="AZ158" s="121"/>
      <c r="BA158" s="121"/>
      <c r="BB158" s="121"/>
      <c r="BC158" s="121"/>
      <c r="BD158" s="121"/>
      <c r="BE158" s="121"/>
      <c r="BF158" s="121"/>
      <c r="BG158" s="121"/>
      <c r="BH158" s="121"/>
      <c r="BI158" s="121"/>
      <c r="BL158" s="121"/>
      <c r="BM158" s="121"/>
    </row>
    <row r="159" spans="6:65" ht="15.75" hidden="1" thickTop="1">
      <c r="F159" s="2"/>
      <c r="G159" s="2"/>
      <c r="H159" s="2"/>
      <c r="I159" s="2"/>
      <c r="J159" s="2"/>
      <c r="K159" s="2"/>
      <c r="L159" s="2"/>
      <c r="M159" s="2"/>
      <c r="N159" s="2"/>
      <c r="O159" s="2"/>
      <c r="P159" s="2"/>
      <c r="Q159" s="2"/>
      <c r="R159" s="2"/>
      <c r="S159" s="2"/>
      <c r="T159" s="2"/>
      <c r="V159" s="2"/>
      <c r="W159" s="2"/>
      <c r="X159" s="2"/>
      <c r="Y159" s="2"/>
      <c r="Z159" s="2"/>
      <c r="AA159" s="2"/>
      <c r="AB159" s="2"/>
      <c r="AC159" s="2"/>
      <c r="AD159" s="2"/>
      <c r="AE159" s="2"/>
      <c r="AF159" s="2"/>
      <c r="AG159" s="2"/>
      <c r="AH159" s="2"/>
      <c r="AI159" s="2"/>
      <c r="AJ159" s="2"/>
      <c r="AK159" s="2"/>
      <c r="AL159" s="2"/>
      <c r="AM159" s="2"/>
      <c r="AN159" s="2"/>
      <c r="AO159" s="2"/>
      <c r="AP159" s="2"/>
      <c r="AQ159" s="2"/>
      <c r="AR159" s="2"/>
      <c r="AS159" s="2"/>
      <c r="AT159" s="2"/>
      <c r="AU159" s="2"/>
      <c r="AV159" s="2"/>
      <c r="AX159" s="2"/>
      <c r="AY159" s="2"/>
      <c r="AZ159" s="2"/>
      <c r="BA159" s="2"/>
      <c r="BB159" s="2"/>
      <c r="BC159" s="2"/>
      <c r="BD159" s="2"/>
      <c r="BE159" s="2"/>
      <c r="BF159" s="2"/>
      <c r="BG159" s="2"/>
      <c r="BH159" s="2"/>
      <c r="BI159" s="2"/>
      <c r="BL159" s="2"/>
      <c r="BM159" s="2"/>
    </row>
    <row r="160" spans="6:65" ht="17.100000000000001" hidden="1" customHeight="1">
      <c r="F160" s="2"/>
      <c r="G160" s="2"/>
      <c r="H160" s="2"/>
      <c r="I160" s="2"/>
      <c r="J160" s="2"/>
      <c r="K160" s="2"/>
      <c r="L160" s="2"/>
      <c r="M160" s="2"/>
      <c r="N160" s="2"/>
      <c r="O160" s="2"/>
      <c r="P160" s="2"/>
      <c r="Q160" s="2"/>
      <c r="R160" s="2"/>
      <c r="S160" s="2"/>
      <c r="T160" s="2"/>
      <c r="V160" s="2"/>
      <c r="W160" s="2"/>
      <c r="X160" s="2"/>
      <c r="Y160" s="2"/>
      <c r="Z160" s="2"/>
      <c r="AA160" s="2"/>
      <c r="AB160" s="2"/>
      <c r="AC160" s="2"/>
      <c r="AD160" s="2"/>
      <c r="AE160" s="2"/>
      <c r="AF160" s="2"/>
      <c r="AG160" s="2"/>
      <c r="AH160" s="2"/>
      <c r="AI160" s="2"/>
      <c r="AJ160" s="2"/>
      <c r="AK160" s="2"/>
      <c r="AL160" s="2"/>
      <c r="AM160" s="2"/>
      <c r="AN160" s="2"/>
      <c r="AO160" s="2"/>
      <c r="AP160" s="2"/>
      <c r="AQ160" s="2"/>
      <c r="AR160" s="2"/>
      <c r="AS160" s="2"/>
      <c r="AT160" s="2"/>
      <c r="AU160" s="2"/>
      <c r="AV160" s="2"/>
      <c r="AX160" s="2"/>
      <c r="AY160" s="2"/>
      <c r="AZ160" s="2"/>
      <c r="BA160" s="2"/>
      <c r="BB160" s="2"/>
      <c r="BC160" s="2"/>
      <c r="BD160" s="2"/>
      <c r="BE160" s="2"/>
      <c r="BF160" s="2"/>
      <c r="BG160" s="2"/>
      <c r="BH160" s="2"/>
      <c r="BI160" s="2"/>
      <c r="BL160" s="2"/>
      <c r="BM160" s="2"/>
    </row>
    <row r="161" spans="6:65" ht="17.100000000000001" hidden="1" customHeight="1">
      <c r="F161" s="2"/>
      <c r="G161" s="2"/>
      <c r="H161" s="2" t="s">
        <v>55</v>
      </c>
      <c r="I161" s="2"/>
      <c r="J161" s="2"/>
      <c r="K161" s="2"/>
      <c r="L161" s="2"/>
      <c r="M161" s="2"/>
      <c r="N161" s="2"/>
      <c r="O161" s="2"/>
      <c r="P161" s="2"/>
      <c r="Q161" s="2"/>
      <c r="R161" s="2"/>
      <c r="S161" s="2"/>
      <c r="T161" s="2"/>
      <c r="V161" s="2"/>
      <c r="W161" s="2"/>
      <c r="X161" s="2" t="s">
        <v>55</v>
      </c>
      <c r="Y161" s="2"/>
      <c r="Z161" s="2"/>
      <c r="AA161" s="2"/>
      <c r="AB161" s="2"/>
      <c r="AC161" s="2"/>
      <c r="AD161" s="2"/>
      <c r="AE161" s="2"/>
      <c r="AF161" s="2"/>
      <c r="AG161" s="2"/>
      <c r="AH161" s="2"/>
      <c r="AI161" s="2"/>
      <c r="AJ161" s="2"/>
      <c r="AK161" s="2"/>
      <c r="AL161" s="2" t="s">
        <v>55</v>
      </c>
      <c r="AM161" s="2"/>
      <c r="AN161" s="2"/>
      <c r="AO161" s="2"/>
      <c r="AP161" s="2"/>
      <c r="AQ161" s="2"/>
      <c r="AR161" s="2"/>
      <c r="AS161" s="2"/>
      <c r="AT161" s="2"/>
      <c r="AU161" s="2"/>
      <c r="AV161" s="2"/>
      <c r="AX161" s="2"/>
      <c r="AY161" s="2"/>
      <c r="AZ161" s="2" t="s">
        <v>55</v>
      </c>
      <c r="BA161" s="2"/>
      <c r="BB161" s="2"/>
      <c r="BC161" s="2"/>
      <c r="BD161" s="2"/>
      <c r="BE161" s="2"/>
      <c r="BF161" s="2"/>
      <c r="BG161" s="2"/>
      <c r="BH161" s="2"/>
      <c r="BI161" s="2"/>
      <c r="BL161" s="2"/>
      <c r="BM161" s="2"/>
    </row>
    <row r="162" spans="6:65" hidden="1">
      <c r="F162" s="2"/>
      <c r="G162" s="12" t="s">
        <v>56</v>
      </c>
      <c r="H162" s="12" t="s">
        <v>71</v>
      </c>
      <c r="I162" s="2" t="s">
        <v>58</v>
      </c>
      <c r="J162" s="2" t="s">
        <v>58</v>
      </c>
      <c r="K162" s="12" t="s">
        <v>59</v>
      </c>
      <c r="L162" s="2" t="s">
        <v>60</v>
      </c>
      <c r="M162" s="2" t="s">
        <v>61</v>
      </c>
      <c r="N162" s="2" t="s">
        <v>62</v>
      </c>
      <c r="O162" s="2"/>
      <c r="P162" s="2"/>
      <c r="Q162" s="2"/>
      <c r="R162" s="2"/>
      <c r="S162" s="2"/>
      <c r="T162" s="2"/>
      <c r="V162" s="2"/>
      <c r="W162" s="12" t="s">
        <v>56</v>
      </c>
      <c r="X162" s="12" t="s">
        <v>71</v>
      </c>
      <c r="Y162" s="2" t="s">
        <v>58</v>
      </c>
      <c r="Z162" s="2" t="s">
        <v>58</v>
      </c>
      <c r="AA162" s="12" t="s">
        <v>59</v>
      </c>
      <c r="AB162" s="2" t="s">
        <v>60</v>
      </c>
      <c r="AC162" s="2" t="s">
        <v>61</v>
      </c>
      <c r="AD162" s="2" t="s">
        <v>62</v>
      </c>
      <c r="AE162" s="2"/>
      <c r="AF162" s="2"/>
      <c r="AG162" s="2"/>
      <c r="AH162" s="2"/>
      <c r="AI162" s="2"/>
      <c r="AJ162" s="2"/>
      <c r="AK162" s="12" t="s">
        <v>56</v>
      </c>
      <c r="AL162" s="12" t="s">
        <v>71</v>
      </c>
      <c r="AM162" s="2" t="s">
        <v>58</v>
      </c>
      <c r="AN162" s="2" t="s">
        <v>58</v>
      </c>
      <c r="AO162" s="12" t="s">
        <v>59</v>
      </c>
      <c r="AP162" s="2" t="s">
        <v>60</v>
      </c>
      <c r="AQ162" s="2" t="s">
        <v>61</v>
      </c>
      <c r="AR162" s="2" t="s">
        <v>62</v>
      </c>
      <c r="AS162" s="2"/>
      <c r="AT162" s="2"/>
      <c r="AU162" s="2"/>
      <c r="AV162" s="2"/>
      <c r="AX162" s="2"/>
      <c r="AY162" s="12" t="s">
        <v>56</v>
      </c>
      <c r="AZ162" s="12" t="s">
        <v>71</v>
      </c>
      <c r="BA162" s="2" t="s">
        <v>58</v>
      </c>
      <c r="BB162" s="2" t="s">
        <v>58</v>
      </c>
      <c r="BC162" s="12" t="s">
        <v>59</v>
      </c>
      <c r="BD162" s="2" t="s">
        <v>60</v>
      </c>
      <c r="BE162" s="2" t="s">
        <v>61</v>
      </c>
      <c r="BF162" s="2" t="s">
        <v>62</v>
      </c>
      <c r="BG162" s="2"/>
      <c r="BH162" s="2"/>
      <c r="BI162" s="2"/>
      <c r="BL162" s="2"/>
      <c r="BM162" s="2"/>
    </row>
    <row r="163" spans="6:65" hidden="1">
      <c r="F163" s="2">
        <v>1</v>
      </c>
      <c r="G163" s="3" t="s">
        <v>63</v>
      </c>
      <c r="H163" s="14">
        <f>IF(I75=2, 0.0022, IF(I75=3, 0.0022, IF(I75=4, 0.0011, IF(I75=5, 0.0011, IF(I75=6, 0.0014, IF(I75=7, 0.0014, IF(I75=8, 0.0016, IF(I75=9, 0.0016, IF(I75=1, 0.00154, "")))))))))</f>
        <v>2.2000000000000001E-3</v>
      </c>
      <c r="I163" s="3" t="str">
        <f>IF((J$9=G163),F163,"")</f>
        <v/>
      </c>
      <c r="J163" s="3">
        <f>IFERROR(SMALL(I$163:I$168,F163),"")</f>
        <v>2</v>
      </c>
      <c r="K163" s="3">
        <f>IF(I75=1, 64.25, IF(I75=2, 69.333, IF(I75=3, 69.333, IF(I75=4, 69.333, IF(I75=5, 64.25, IF(I75=6,64.25, IF(I75=7,64.25, IF(I75=8, 64.25, IF(I75=9, 64.25,"")))))))))</f>
        <v>69.332999999999998</v>
      </c>
      <c r="L163" s="3" t="b">
        <f>IF(J$163=F163,J$13*H163*9320)</f>
        <v>0</v>
      </c>
      <c r="M163" s="3" t="b">
        <f>IF(J$163=F163,J$14*H163*9320)</f>
        <v>0</v>
      </c>
      <c r="N163" s="3">
        <f>(((L163-M163)/1000)*0.000001)*J$7</f>
        <v>0</v>
      </c>
      <c r="O163" s="2" t="s">
        <v>64</v>
      </c>
      <c r="P163" s="2"/>
      <c r="Q163" s="2"/>
      <c r="R163" s="2"/>
      <c r="S163" s="2"/>
      <c r="T163" s="2"/>
      <c r="V163" s="2">
        <v>1</v>
      </c>
      <c r="W163" s="3" t="s">
        <v>63</v>
      </c>
      <c r="X163" s="14">
        <f>IF(Y75=2, 0.0022, IF(Y75=3, 0.0022, IF(Y75=4, 0.0011, IF(Y75=5, 0.0011, IF(Y75=6, 0.0014, IF(Y75=7, 0.0014, IF(Y75=8, 0.0016, IF(Y75=9, 0.0016, IF(Y75=1, 0.00154, "")))))))))</f>
        <v>2.2000000000000001E-3</v>
      </c>
      <c r="Y163" s="3" t="str">
        <f>IF((K$9=W163),V163,"")</f>
        <v/>
      </c>
      <c r="Z163" s="3">
        <f>IFERROR(SMALL(Y$163:Y$168,V163),"")</f>
        <v>2</v>
      </c>
      <c r="AA163" s="3">
        <f>IF(Y75=1, 64.25, IF(Y75=2, 69.333, IF(Y75=3, 69.333, IF(Y75=4, 69.333, IF(Y75=5, 64.25, IF(Y75=6,64.25, IF(Y75=7,64.25, IF(Y75=8, 64.25, IF(Y75=9, 64.25,"")))))))))</f>
        <v>69.332999999999998</v>
      </c>
      <c r="AB163" s="3" t="b">
        <f>IF(Z$163=V163,K$13*X163*9320)</f>
        <v>0</v>
      </c>
      <c r="AC163" s="3" t="b">
        <f>IF(Z$163=V163,K$14*X163*9320)</f>
        <v>0</v>
      </c>
      <c r="AD163" s="3">
        <f>(((AB163-AC163)/1000)*0.000001)*K$7</f>
        <v>0</v>
      </c>
      <c r="AE163" s="2" t="s">
        <v>64</v>
      </c>
      <c r="AF163" s="2"/>
      <c r="AG163" s="2"/>
      <c r="AH163" s="2"/>
      <c r="AI163" s="2"/>
      <c r="AJ163" s="2">
        <v>1</v>
      </c>
      <c r="AK163" s="3" t="s">
        <v>63</v>
      </c>
      <c r="AL163" s="14">
        <f>IF(AM75=2, 0.0022, IF(AM75=3, 0.0022, IF(AM75=4, 0.0011, IF(AM75=5, 0.0011, IF(AM75=6, 0.0014, IF(AM75=7, 0.0014, IF(AM75=8, 0.0016, IF(AM75=9, 0.0016, IF(AM75=1, 0.00154, "")))))))))</f>
        <v>2.2000000000000001E-3</v>
      </c>
      <c r="AM163" s="3" t="str">
        <f>IF((L$9=AK163),AJ163,"")</f>
        <v/>
      </c>
      <c r="AN163" s="3">
        <f>IFERROR(SMALL(AM$163:AM$168,AJ163),"")</f>
        <v>2</v>
      </c>
      <c r="AO163" s="3">
        <f>IF(AM75=1, 64.25, IF(AM75=2, 69.333, IF(AM75=3, 69.333, IF(AM75=4, 69.333, IF(AM75=5, 64.25, IF(AM75=6,64.25, IF(AM75=7,64.25, IF(AM75=8, 64.25, IF(AM75=9, 64.25,"")))))))))</f>
        <v>69.332999999999998</v>
      </c>
      <c r="AP163" s="3" t="b">
        <f>IF(AN$163=AJ163,L$13*AL163*9320)</f>
        <v>0</v>
      </c>
      <c r="AQ163" s="3" t="b">
        <f>IF(AN$163=AJ163,L$14*AL163*9320)</f>
        <v>0</v>
      </c>
      <c r="AR163" s="3">
        <f>(((AP163-AQ163)/1000)*0.000001)*L$7</f>
        <v>0</v>
      </c>
      <c r="AS163" s="2" t="s">
        <v>64</v>
      </c>
      <c r="AT163" s="2"/>
      <c r="AU163" s="2"/>
      <c r="AV163" s="2"/>
      <c r="AX163" s="2">
        <v>1</v>
      </c>
      <c r="AY163" s="3" t="s">
        <v>63</v>
      </c>
      <c r="AZ163" s="14">
        <f>IF(BA75=2, 0.0022, IF(BA75=3, 0.0022, IF(BA75=4, 0.0011, IF(BA75=5, 0.0011, IF(BA75=6, 0.0014, IF(BA75=7, 0.0014, IF(BA75=8, 0.0016, IF(BA75=9, 0.0016, IF(BA75=1, 0.00154, "")))))))))</f>
        <v>2.2000000000000001E-3</v>
      </c>
      <c r="BA163" s="3" t="str">
        <f>IF((M$9=AY163),AX163,"")</f>
        <v/>
      </c>
      <c r="BB163" s="3">
        <f>IFERROR(SMALL(BA$163:BA$168,AX163),"")</f>
        <v>2</v>
      </c>
      <c r="BC163" s="3" t="str">
        <f>IF(BA74=1, 64.25, IF(BA74=2, 69.333, IF(BA74=3, 69.333, IF(BA74=4, 69.333, IF(BA74=5, 64.25, IF(BA74=6,64.25, IF(BA74=7,64.25, IF(BA74=8, 64.25, IF(BA74=9, 64.25,"")))))))))</f>
        <v/>
      </c>
      <c r="BD163" s="3" t="b">
        <f>IF(BB$163=AX163,M$13*AZ163*9320)</f>
        <v>0</v>
      </c>
      <c r="BE163" s="3" t="b">
        <f>IF(BB$163=AX163,M$14*AZ163*9320)</f>
        <v>0</v>
      </c>
      <c r="BF163" s="3">
        <f>(((BD163-BE163)/1000)*0.000001)*M$7</f>
        <v>0</v>
      </c>
      <c r="BG163" s="2" t="s">
        <v>64</v>
      </c>
      <c r="BH163" s="2"/>
      <c r="BI163" s="2"/>
      <c r="BL163" s="2"/>
      <c r="BM163" s="2"/>
    </row>
    <row r="164" spans="6:65" hidden="1">
      <c r="F164" s="2">
        <v>2</v>
      </c>
      <c r="G164" s="3" t="s">
        <v>106</v>
      </c>
      <c r="H164" s="14">
        <f>IF(I75=2, 0.0842, IF(I75=3, 0.0548, IF(I75=4, 0.0391, IF(I75=5, 0.314, IF(I75=6, 0.0021, IF(I75=7, 0.0015, IF(I75=8, 0.0015, IF(I75=9, 0.0015, IF(I75=1, 0.02239, "")))))))))</f>
        <v>8.4199999999999997E-2</v>
      </c>
      <c r="I164" s="3">
        <f>IF((J$9=G164),F164,"")</f>
        <v>2</v>
      </c>
      <c r="J164" s="3" t="str">
        <f>IFERROR(SMALL(I$163:I$168,F164),"")</f>
        <v/>
      </c>
      <c r="K164" s="3">
        <f>IF(I75=1, 55.333, IF(I75=2, 64, IF(I75=3, 64, IF(I75=4, 64, IF(I75=5, 55.333, IF(I75=6,55.333, IF(I75=7,55.333, IF(I75=8, 55.333, IF(I75=9, 55.333,"")))))))))</f>
        <v>64</v>
      </c>
      <c r="L164" s="3">
        <f>IF(J$163=F164,J$13*H164*14415)</f>
        <v>60687150</v>
      </c>
      <c r="M164" s="3">
        <f>IF(J$163=F164,J$14*H164*14415)</f>
        <v>0</v>
      </c>
      <c r="N164" s="3">
        <f>(((L164-M164)/1000)*0.000001)*J$7</f>
        <v>6.0687149999999995E-2</v>
      </c>
      <c r="O164" s="2" t="s">
        <v>64</v>
      </c>
      <c r="P164" s="2"/>
      <c r="Q164" s="2"/>
      <c r="R164" s="2"/>
      <c r="S164" s="2"/>
      <c r="T164" s="2"/>
      <c r="V164" s="2">
        <v>2</v>
      </c>
      <c r="W164" s="3" t="s">
        <v>106</v>
      </c>
      <c r="X164" s="14">
        <f>IF(Y75=2, 0.0842, IF(Y75=3, 0.0548, IF(Y75=4, 0.0391, IF(Y75=5, 0.314, IF(Y75=6, 0.0021, IF(Y75=7, 0.0015, IF(Y75=8, 0.0015, IF(Y75=9, 0.0015, IF(Y75=1, 0.02239, "")))))))))</f>
        <v>8.4199999999999997E-2</v>
      </c>
      <c r="Y164" s="3">
        <f>IF((K$9=W164),V164,"")</f>
        <v>2</v>
      </c>
      <c r="Z164" s="3" t="str">
        <f>IFERROR(SMALL(Y$163:Y$168,V164),"")</f>
        <v/>
      </c>
      <c r="AA164" s="3">
        <f>IF(Y75=1, 55.333, IF(Y75=2, 64, IF(Y75=3, 64, IF(Y75=4, 64, IF(Y75=5, 55.333, IF(Y75=6,55.333, IF(Y75=7,55.333, IF(Y75=8, 55.333, IF(Y75=9, 55.333,"")))))))))</f>
        <v>64</v>
      </c>
      <c r="AB164" s="3">
        <f>IF(Z$163=V164,K$13*X164*14415)</f>
        <v>60687150</v>
      </c>
      <c r="AC164" s="3">
        <f>IF(Z$163=V164,K$14*X164*14415)</f>
        <v>0</v>
      </c>
      <c r="AD164" s="3">
        <f>(((AB164-AC164)/1000)*0.000001)*K$7</f>
        <v>6.0687149999999995E-2</v>
      </c>
      <c r="AE164" s="2" t="s">
        <v>64</v>
      </c>
      <c r="AF164" s="2"/>
      <c r="AG164" s="2"/>
      <c r="AH164" s="2"/>
      <c r="AI164" s="2"/>
      <c r="AJ164" s="2">
        <v>2</v>
      </c>
      <c r="AK164" s="3" t="s">
        <v>106</v>
      </c>
      <c r="AL164" s="14">
        <f>IF(AM75=2, 0.0842, IF(AM75=3, 0.0548, IF(AM75=4, 0.0391, IF(AM75=5, 0.314, IF(AM75=6, 0.0021, IF(AM75=7, 0.0015, IF(AM75=8, 0.0015, IF(AM75=9, 0.0015, IF(AM75=1, 0.02239, "")))))))))</f>
        <v>8.4199999999999997E-2</v>
      </c>
      <c r="AM164" s="3">
        <f>IF((L$9=AK164),AJ164,"")</f>
        <v>2</v>
      </c>
      <c r="AN164" s="3" t="str">
        <f>IFERROR(SMALL(AM$163:AM$168,AJ164),"")</f>
        <v/>
      </c>
      <c r="AO164" s="3">
        <f>IF(AM75=1, 55.333, IF(AM75=2, 64, IF(AM75=3, 64, IF(AM75=4, 64, IF(AM75=5, 55.333, IF(AM75=6,55.333, IF(AM75=7,55.333, IF(AM75=8, 55.333, IF(AM75=9, 55.333,"")))))))))</f>
        <v>64</v>
      </c>
      <c r="AP164" s="3">
        <f>IF(AN$163=AJ164,L$13*AL164*14415)</f>
        <v>60687150</v>
      </c>
      <c r="AQ164" s="3">
        <f>IF(AN$163=AJ164,L$14*AL164*14415)</f>
        <v>0</v>
      </c>
      <c r="AR164" s="3">
        <f>(((AP164-AQ164)/1000)*0.000001)*L$7</f>
        <v>6.0687149999999995E-2</v>
      </c>
      <c r="AS164" s="2" t="s">
        <v>64</v>
      </c>
      <c r="AT164" s="2"/>
      <c r="AU164" s="2"/>
      <c r="AV164" s="2"/>
      <c r="AX164" s="2">
        <v>2</v>
      </c>
      <c r="AY164" s="3" t="s">
        <v>106</v>
      </c>
      <c r="AZ164" s="14">
        <f>IF(BA75=2, 0.0842, IF(BA75=3, 0.0548, IF(BA75=4, 0.0391, IF(BA75=5, 0.314, IF(BA75=6, 0.0021, IF(BA75=7, 0.0015, IF(BA75=8, 0.0015, IF(BA75=9, 0.0015, IF(BA75=1, 0.02239, "")))))))))</f>
        <v>8.4199999999999997E-2</v>
      </c>
      <c r="BA164" s="3">
        <f>IF((M$9=AY164),AX164,"")</f>
        <v>2</v>
      </c>
      <c r="BB164" s="3" t="str">
        <f>IFERROR(SMALL(BA$163:BA$168,AX164),"")</f>
        <v/>
      </c>
      <c r="BC164" s="3" t="str">
        <f>IF(BA74=1, 55.333, IF(BA74=2, 64, IF(BA74=3, 64, IF(BA74=4, 64, IF(BA74=5, 55.333, IF(BA74=6,55.333, IF(BA74=7,55.333, IF(BA74=8, 55.333, IF(BA74=9, 55.333,"")))))))))</f>
        <v/>
      </c>
      <c r="BD164" s="3">
        <f>IF(BB$163=AX164,M$13*AZ164*14415)</f>
        <v>60687150</v>
      </c>
      <c r="BE164" s="3">
        <f>IF(BB$163=AX164,M$14*AZ164*14415)</f>
        <v>0</v>
      </c>
      <c r="BF164" s="3">
        <f>(((BD164-BE164)/1000)*0.000001)*M$7</f>
        <v>6.0687149999999995E-2</v>
      </c>
      <c r="BG164" s="2" t="s">
        <v>64</v>
      </c>
      <c r="BH164" s="2"/>
      <c r="BI164" s="2"/>
      <c r="BL164" s="2"/>
      <c r="BM164" s="2"/>
    </row>
    <row r="165" spans="6:65" hidden="1">
      <c r="F165" s="2">
        <v>3</v>
      </c>
      <c r="G165" s="3" t="s">
        <v>65</v>
      </c>
      <c r="H165" s="3">
        <f>IF(N75=2,0.0022,IF(N75=3,0.0022,IF(N75=4,0.0011,IF(N75=5,0.0011,IF(N75=1,0.00165, "")))))</f>
        <v>2.2000000000000001E-3</v>
      </c>
      <c r="I165" s="3" t="str">
        <f>IF((J$9=G165),F165,"")</f>
        <v/>
      </c>
      <c r="J165" s="3" t="str">
        <f>IFERROR(SMALL(I$163:I$168,F165),"")</f>
        <v/>
      </c>
      <c r="K165" s="3">
        <f>57</f>
        <v>57</v>
      </c>
      <c r="L165" s="3" t="b">
        <f>IF(J$163=F165,J$13*H165*12310)</f>
        <v>0</v>
      </c>
      <c r="M165" s="3" t="b">
        <f>IF(J$163=F165,J$14*H165*12310)</f>
        <v>0</v>
      </c>
      <c r="N165" s="3">
        <f>(((L165-M165)/1000)*0.000001)*J$7</f>
        <v>0</v>
      </c>
      <c r="O165" s="2" t="s">
        <v>64</v>
      </c>
      <c r="P165" s="2"/>
      <c r="Q165" s="2"/>
      <c r="R165" s="2"/>
      <c r="S165" s="2"/>
      <c r="T165" s="2"/>
      <c r="V165" s="2">
        <v>3</v>
      </c>
      <c r="W165" s="3" t="s">
        <v>65</v>
      </c>
      <c r="X165" s="3">
        <f>IF(AD75=2,0.0022,IF(AD75=3,0.0022,IF(AD75=4,0.0011,IF(AD75=5,0.0011,IF(AD75=1,0.00165, "")))))</f>
        <v>2.2000000000000001E-3</v>
      </c>
      <c r="Y165" s="3" t="str">
        <f>IF((K$9=W165),V165,"")</f>
        <v/>
      </c>
      <c r="Z165" s="3" t="str">
        <f>IFERROR(SMALL(Y$163:Y$168,V165),"")</f>
        <v/>
      </c>
      <c r="AA165" s="3">
        <f>57</f>
        <v>57</v>
      </c>
      <c r="AB165" s="3" t="b">
        <f>IF(Z$163=V165,K$13*X165*12310)</f>
        <v>0</v>
      </c>
      <c r="AC165" s="3" t="b">
        <f>IF(Z$163=V165,K$14*X165*12310)</f>
        <v>0</v>
      </c>
      <c r="AD165" s="3">
        <f>(((AB165-AC165)/1000)*0.000001)*K$7</f>
        <v>0</v>
      </c>
      <c r="AE165" s="2" t="s">
        <v>64</v>
      </c>
      <c r="AF165" s="2"/>
      <c r="AG165" s="2"/>
      <c r="AH165" s="2"/>
      <c r="AI165" s="2"/>
      <c r="AJ165" s="2">
        <v>3</v>
      </c>
      <c r="AK165" s="3" t="s">
        <v>65</v>
      </c>
      <c r="AL165" s="3">
        <f>IF(AR75=2,0.0022,IF(AR75=3,0.0022,IF(AR75=4,0.0011,IF(AR75=5,0.0011,IF(AR75=1,0.00165, "")))))</f>
        <v>2.2000000000000001E-3</v>
      </c>
      <c r="AM165" s="3" t="str">
        <f t="shared" ref="AM165" si="72">IF((L$9=AK165),AJ165,"")</f>
        <v/>
      </c>
      <c r="AN165" s="3" t="str">
        <f>IFERROR(SMALL(AM$163:AM$168,AJ165),"")</f>
        <v/>
      </c>
      <c r="AO165" s="3">
        <f>57</f>
        <v>57</v>
      </c>
      <c r="AP165" s="3" t="b">
        <f>IF(AN$163=AJ165,L$13*AL165*12310)</f>
        <v>0</v>
      </c>
      <c r="AQ165" s="3" t="b">
        <f>IF(AN$163=AJ165,L$14*AL165*12310)</f>
        <v>0</v>
      </c>
      <c r="AR165" s="3">
        <f>(((AP165-AQ165)/1000)*0.000001)*L$7</f>
        <v>0</v>
      </c>
      <c r="AS165" s="2" t="s">
        <v>64</v>
      </c>
      <c r="AT165" s="2"/>
      <c r="AU165" s="2"/>
      <c r="AV165" s="2"/>
      <c r="AX165" s="2">
        <v>3</v>
      </c>
      <c r="AY165" s="3" t="s">
        <v>65</v>
      </c>
      <c r="AZ165" s="3">
        <f>IF(BF75=2,0.0022,IF(BF75=3,0.0022,IF(BF75=4,0.0011,IF(BF75=5,0.0011,IF(BF75=1,0.00165, "")))))</f>
        <v>2.2000000000000001E-3</v>
      </c>
      <c r="BA165" s="3" t="str">
        <f>IF((M$9=AY165),AX165,"")</f>
        <v/>
      </c>
      <c r="BB165" s="3" t="str">
        <f>IFERROR(SMALL(BA$163:BA$168,AX165),"")</f>
        <v/>
      </c>
      <c r="BC165" s="3">
        <f>57</f>
        <v>57</v>
      </c>
      <c r="BD165" s="3" t="b">
        <f>IF(BB$163=AX165,M$13*AZ165*12310)</f>
        <v>0</v>
      </c>
      <c r="BE165" s="3" t="b">
        <f>IF(BB$163=AX165,M$14*AZ165*12310)</f>
        <v>0</v>
      </c>
      <c r="BF165" s="3">
        <f>(((BD165-BE165)/1000)*0.000001)*M$7</f>
        <v>0</v>
      </c>
      <c r="BG165" s="2" t="s">
        <v>64</v>
      </c>
      <c r="BH165" s="2"/>
      <c r="BI165" s="2"/>
      <c r="BL165" s="2"/>
      <c r="BM165" s="2"/>
    </row>
    <row r="166" spans="6:65" hidden="1">
      <c r="F166" s="11">
        <v>4</v>
      </c>
      <c r="G166" s="7" t="s">
        <v>66</v>
      </c>
      <c r="H166" s="7">
        <v>1.5E-3</v>
      </c>
      <c r="I166" s="7" t="str">
        <f>IF((Q$9=G166),F166,"")</f>
        <v/>
      </c>
      <c r="J166" s="7" t="str">
        <f>IFERROR(SMALL(I$168:I$180,F166),"")</f>
        <v/>
      </c>
      <c r="K166" s="7">
        <f>39.57</f>
        <v>39.57</v>
      </c>
      <c r="L166" s="7" t="b">
        <f>IF(J$168=F166,I$9*(K166*H166))</f>
        <v>0</v>
      </c>
      <c r="M166" s="7" t="b">
        <f>IF(J$168=F166,L$9*(K166*H166))</f>
        <v>0</v>
      </c>
      <c r="N166" s="7">
        <f>L166-M166</f>
        <v>0</v>
      </c>
      <c r="O166" s="2"/>
      <c r="P166" s="2"/>
      <c r="Q166" s="2"/>
      <c r="R166" s="2"/>
      <c r="S166" s="2"/>
      <c r="T166" s="2"/>
      <c r="V166" s="11">
        <v>4</v>
      </c>
      <c r="W166" s="7" t="s">
        <v>66</v>
      </c>
      <c r="X166" s="7">
        <v>1.5E-3</v>
      </c>
      <c r="Y166" s="7" t="str">
        <f>IF((AG$9=W166),V166,"")</f>
        <v/>
      </c>
      <c r="Z166" s="7" t="str">
        <f>IFERROR(SMALL(Y$168:Y$180,V166),"")</f>
        <v/>
      </c>
      <c r="AA166" s="7">
        <f>39.57</f>
        <v>39.57</v>
      </c>
      <c r="AB166" s="7" t="b">
        <f>IF(Z$168=V166,Y$9*(AA166*X166))</f>
        <v>0</v>
      </c>
      <c r="AC166" s="7" t="b">
        <f>IF(Z$168=V166,AB$9*(AA166*X166))</f>
        <v>0</v>
      </c>
      <c r="AD166" s="7">
        <f>AB166-AC166</f>
        <v>0</v>
      </c>
      <c r="AE166" s="2"/>
      <c r="AF166" s="2"/>
      <c r="AG166" s="2"/>
      <c r="AH166" s="2"/>
      <c r="AI166" s="2"/>
      <c r="AJ166" s="11">
        <v>4</v>
      </c>
      <c r="AK166" s="7" t="s">
        <v>66</v>
      </c>
      <c r="AL166" s="7">
        <v>1.5E-3</v>
      </c>
      <c r="AM166" s="7" t="str">
        <f>IF((AU$9=AK166),AJ166,"")</f>
        <v/>
      </c>
      <c r="AN166" s="7" t="str">
        <f>IFERROR(SMALL(AM$168:AM$180,AJ166),"")</f>
        <v/>
      </c>
      <c r="AO166" s="7">
        <f>39.57</f>
        <v>39.57</v>
      </c>
      <c r="AP166" s="7" t="b">
        <f>IF(AN$168=AJ166,AM$9*(AO166*AL166))</f>
        <v>0</v>
      </c>
      <c r="AQ166" s="7" t="b">
        <f>IF(AN$168=AJ166,AP$9*(AO166*AL166))</f>
        <v>0</v>
      </c>
      <c r="AR166" s="7">
        <f>AP166-AQ166</f>
        <v>0</v>
      </c>
      <c r="AS166" s="2"/>
      <c r="AT166" s="2"/>
      <c r="AU166" s="2"/>
      <c r="AV166" s="2"/>
      <c r="AX166" s="11">
        <v>4</v>
      </c>
      <c r="AY166" s="7" t="s">
        <v>66</v>
      </c>
      <c r="AZ166" s="7">
        <v>1.5E-3</v>
      </c>
      <c r="BA166" s="7" t="str">
        <f>IF((BI$9=AY166),AX166,"")</f>
        <v/>
      </c>
      <c r="BB166" s="7" t="str">
        <f>IFERROR(SMALL(BA$168:BA$180,AX166),"")</f>
        <v/>
      </c>
      <c r="BC166" s="7">
        <f>39.57</f>
        <v>39.57</v>
      </c>
      <c r="BD166" s="7" t="b">
        <f>IF(BB$168=AX166,BA$9*(BC166*AZ166))</f>
        <v>0</v>
      </c>
      <c r="BE166" s="7" t="b">
        <f>IF(BB$168=AX166,BD$9*(BC166*AZ166))</f>
        <v>0</v>
      </c>
      <c r="BF166" s="7">
        <f>BD166-BE166</f>
        <v>0</v>
      </c>
      <c r="BG166" s="2"/>
      <c r="BH166" s="2"/>
      <c r="BI166" s="2"/>
      <c r="BL166" s="2"/>
      <c r="BM166" s="2"/>
    </row>
    <row r="167" spans="6:65" hidden="1">
      <c r="F167" s="11">
        <v>5</v>
      </c>
      <c r="G167" s="7" t="s">
        <v>67</v>
      </c>
      <c r="H167" s="7">
        <v>1.1000000000000001E-3</v>
      </c>
      <c r="I167" s="7" t="str">
        <f>IF((Q$9=G167),F167,"")</f>
        <v/>
      </c>
      <c r="J167" s="7" t="str">
        <f>IFERROR(SMALL(I$168:I$180,F167),"")</f>
        <v/>
      </c>
      <c r="K167" s="7">
        <f>87</f>
        <v>87</v>
      </c>
      <c r="L167" s="7" t="b">
        <f>IF(J$168=F167,I$9*(K167*H167))</f>
        <v>0</v>
      </c>
      <c r="M167" s="7" t="b">
        <f>IF(J$168=F167,L$9*(K167*H167))</f>
        <v>0</v>
      </c>
      <c r="N167" s="7">
        <f>L167-M167</f>
        <v>0</v>
      </c>
      <c r="O167" s="2"/>
      <c r="P167" s="2"/>
      <c r="Q167" s="2"/>
      <c r="R167" s="2"/>
      <c r="S167" s="2"/>
      <c r="T167" s="2"/>
      <c r="V167" s="11">
        <v>5</v>
      </c>
      <c r="W167" s="7" t="s">
        <v>67</v>
      </c>
      <c r="X167" s="7">
        <v>1.1000000000000001E-3</v>
      </c>
      <c r="Y167" s="7" t="str">
        <f>IF((AG$9=W167),V167,"")</f>
        <v/>
      </c>
      <c r="Z167" s="7" t="str">
        <f>IFERROR(SMALL(Y$168:Y$180,V167),"")</f>
        <v/>
      </c>
      <c r="AA167" s="7">
        <f>87</f>
        <v>87</v>
      </c>
      <c r="AB167" s="7" t="b">
        <f>IF(Z$168=V167,Y$9*(AA167*X167))</f>
        <v>0</v>
      </c>
      <c r="AC167" s="7" t="b">
        <f>IF(Z$168=V167,AB$9*(AA167*X167))</f>
        <v>0</v>
      </c>
      <c r="AD167" s="7">
        <f>AB167-AC167</f>
        <v>0</v>
      </c>
      <c r="AE167" s="2"/>
      <c r="AF167" s="2"/>
      <c r="AG167" s="2"/>
      <c r="AH167" s="2"/>
      <c r="AI167" s="2"/>
      <c r="AJ167" s="11">
        <v>5</v>
      </c>
      <c r="AK167" s="7" t="s">
        <v>67</v>
      </c>
      <c r="AL167" s="7">
        <v>1.1000000000000001E-3</v>
      </c>
      <c r="AM167" s="7" t="str">
        <f>IF((AU$9=AK167),AJ167,"")</f>
        <v/>
      </c>
      <c r="AN167" s="7" t="str">
        <f>IFERROR(SMALL(AM$168:AM$180,AJ167),"")</f>
        <v/>
      </c>
      <c r="AO167" s="7">
        <f>87</f>
        <v>87</v>
      </c>
      <c r="AP167" s="7" t="b">
        <f>IF(AN$168=AJ167,AM$9*(AO167*AL167))</f>
        <v>0</v>
      </c>
      <c r="AQ167" s="7" t="b">
        <f>IF(AN$168=AJ167,AP$9*(AO167*AL167))</f>
        <v>0</v>
      </c>
      <c r="AR167" s="7">
        <f>AP167-AQ167</f>
        <v>0</v>
      </c>
      <c r="AS167" s="2"/>
      <c r="AT167" s="2"/>
      <c r="AU167" s="2"/>
      <c r="AV167" s="2"/>
      <c r="AX167" s="11">
        <v>5</v>
      </c>
      <c r="AY167" s="7" t="s">
        <v>67</v>
      </c>
      <c r="AZ167" s="7">
        <v>1.1000000000000001E-3</v>
      </c>
      <c r="BA167" s="7" t="str">
        <f>IF((BI$9=AY167),AX167,"")</f>
        <v/>
      </c>
      <c r="BB167" s="7" t="str">
        <f>IFERROR(SMALL(BA$168:BA$180,AX167),"")</f>
        <v/>
      </c>
      <c r="BC167" s="7">
        <f>87</f>
        <v>87</v>
      </c>
      <c r="BD167" s="7" t="b">
        <f>IF(BB$168=AX167,BA$9*(BC167*AZ167))</f>
        <v>0</v>
      </c>
      <c r="BE167" s="7" t="b">
        <f>IF(BB$168=AX167,BD$9*(BC167*AZ167))</f>
        <v>0</v>
      </c>
      <c r="BF167" s="7">
        <f>BD167-BE167</f>
        <v>0</v>
      </c>
      <c r="BG167" s="2"/>
      <c r="BH167" s="2"/>
      <c r="BI167" s="2"/>
      <c r="BL167" s="2"/>
      <c r="BM167" s="2"/>
    </row>
    <row r="168" spans="6:65" hidden="1">
      <c r="F168" s="11">
        <v>6</v>
      </c>
      <c r="G168" s="7" t="s">
        <v>68</v>
      </c>
      <c r="H168" s="7">
        <v>1E-3</v>
      </c>
      <c r="I168" s="7" t="str">
        <f>IF((Q$9=G168),F168,"")</f>
        <v/>
      </c>
      <c r="J168" s="7" t="str">
        <f>IFERROR(SMALL(I$168:I$180,F168),"")</f>
        <v/>
      </c>
      <c r="K168" s="7">
        <f>63</f>
        <v>63</v>
      </c>
      <c r="L168" s="7" t="b">
        <f>IF(J$168=F168,I$9*(K168*H168))</f>
        <v>0</v>
      </c>
      <c r="M168" s="7" t="b">
        <f>IF(J$168=F168,L$9*(K168*H168))</f>
        <v>0</v>
      </c>
      <c r="N168" s="7">
        <f>L168-M168</f>
        <v>0</v>
      </c>
      <c r="O168" s="2"/>
      <c r="P168" s="2"/>
      <c r="Q168" s="2"/>
      <c r="R168" s="2"/>
      <c r="S168" s="2"/>
      <c r="T168" s="2"/>
      <c r="V168" s="11">
        <v>6</v>
      </c>
      <c r="W168" s="7" t="s">
        <v>68</v>
      </c>
      <c r="X168" s="7">
        <v>1E-3</v>
      </c>
      <c r="Y168" s="7" t="str">
        <f>IF((AG$9=W168),V168,"")</f>
        <v/>
      </c>
      <c r="Z168" s="7" t="str">
        <f>IFERROR(SMALL(Y$168:Y$180,V168),"")</f>
        <v/>
      </c>
      <c r="AA168" s="7">
        <f>63</f>
        <v>63</v>
      </c>
      <c r="AB168" s="7" t="b">
        <f>IF(Z$168=V168,Y$9*(AA168*X168))</f>
        <v>0</v>
      </c>
      <c r="AC168" s="7" t="b">
        <f>IF(Z$168=V168,AB$9*(AA168*X168))</f>
        <v>0</v>
      </c>
      <c r="AD168" s="7">
        <f>AB168-AC168</f>
        <v>0</v>
      </c>
      <c r="AE168" s="2"/>
      <c r="AF168" s="2"/>
      <c r="AG168" s="2"/>
      <c r="AH168" s="2"/>
      <c r="AI168" s="2"/>
      <c r="AJ168" s="11">
        <v>6</v>
      </c>
      <c r="AK168" s="7" t="s">
        <v>68</v>
      </c>
      <c r="AL168" s="7">
        <v>1E-3</v>
      </c>
      <c r="AM168" s="7" t="str">
        <f>IF((AU$9=AK168),AJ168,"")</f>
        <v/>
      </c>
      <c r="AN168" s="7" t="str">
        <f>IFERROR(SMALL(AM$168:AM$180,AJ168),"")</f>
        <v/>
      </c>
      <c r="AO168" s="7">
        <f>63</f>
        <v>63</v>
      </c>
      <c r="AP168" s="7" t="b">
        <f>IF(AN$168=AJ168,AM$9*(AO168*AL168))</f>
        <v>0</v>
      </c>
      <c r="AQ168" s="7" t="b">
        <f>IF(AN$168=AJ168,AP$9*(AO168*AL168))</f>
        <v>0</v>
      </c>
      <c r="AR168" s="7">
        <f>AP168-AQ168</f>
        <v>0</v>
      </c>
      <c r="AS168" s="2"/>
      <c r="AT168" s="2"/>
      <c r="AU168" s="2"/>
      <c r="AV168" s="2"/>
      <c r="AX168" s="11">
        <v>6</v>
      </c>
      <c r="AY168" s="7" t="s">
        <v>68</v>
      </c>
      <c r="AZ168" s="7">
        <v>1E-3</v>
      </c>
      <c r="BA168" s="7" t="str">
        <f>IF((BI$9=AY168),AX168,"")</f>
        <v/>
      </c>
      <c r="BB168" s="7" t="str">
        <f>IFERROR(SMALL(BA$168:BA$180,AX168),"")</f>
        <v/>
      </c>
      <c r="BC168" s="7">
        <f>63</f>
        <v>63</v>
      </c>
      <c r="BD168" s="7" t="b">
        <f>IF(BB$168=AX168,BA$9*(BC168*AZ168))</f>
        <v>0</v>
      </c>
      <c r="BE168" s="7" t="b">
        <f>IF(BB$168=AX168,BD$9*(BC168*AZ168))</f>
        <v>0</v>
      </c>
      <c r="BF168" s="7">
        <f>BD168-BE168</f>
        <v>0</v>
      </c>
      <c r="BG168" s="2"/>
      <c r="BH168" s="2"/>
      <c r="BI168" s="2"/>
      <c r="BL168" s="2"/>
      <c r="BM168" s="2"/>
    </row>
    <row r="169" spans="6:65" hidden="1">
      <c r="F169" s="2"/>
      <c r="G169" s="2"/>
      <c r="H169" s="2"/>
      <c r="J169" s="2"/>
      <c r="K169" s="2"/>
      <c r="L169" s="2"/>
      <c r="M169" s="2"/>
      <c r="N169" s="2"/>
      <c r="O169" s="2"/>
      <c r="P169" s="2"/>
      <c r="Q169" s="2"/>
      <c r="R169" s="2"/>
      <c r="S169" s="2"/>
      <c r="T169" s="2"/>
      <c r="V169" s="2"/>
      <c r="W169" s="2"/>
      <c r="X169" s="2"/>
      <c r="Y169" s="2"/>
      <c r="Z169" s="2"/>
      <c r="AA169" s="2"/>
      <c r="AB169" s="2"/>
      <c r="AC169" s="2"/>
      <c r="AD169" s="2"/>
      <c r="AE169" s="2"/>
      <c r="AF169" s="2"/>
      <c r="AG169" s="2"/>
      <c r="AH169" s="2"/>
      <c r="AI169" s="2"/>
      <c r="AJ169" s="2"/>
      <c r="AK169" s="2"/>
      <c r="AL169" s="2"/>
      <c r="AM169" s="2"/>
      <c r="AN169" s="2"/>
      <c r="AO169" s="2"/>
      <c r="AP169" s="2"/>
      <c r="AQ169" s="2"/>
      <c r="AR169" s="2"/>
      <c r="AS169" s="2"/>
      <c r="AT169" s="2"/>
      <c r="AU169" s="2"/>
      <c r="AV169" s="2"/>
      <c r="AX169" s="2"/>
      <c r="AY169" s="2"/>
      <c r="AZ169" s="2"/>
      <c r="BA169" s="2"/>
      <c r="BB169" s="2"/>
      <c r="BC169" s="2"/>
      <c r="BD169" s="2"/>
      <c r="BE169" s="2"/>
      <c r="BF169" s="2"/>
      <c r="BG169" s="2"/>
      <c r="BH169" s="2"/>
      <c r="BI169" s="2"/>
      <c r="BL169" s="2"/>
      <c r="BM169" s="2"/>
    </row>
    <row r="170" spans="6:65" ht="21.6" hidden="1" customHeight="1">
      <c r="F170" s="2"/>
      <c r="G170" s="2"/>
      <c r="H170" s="2"/>
      <c r="I170" s="2"/>
      <c r="J170" s="2"/>
      <c r="K170" s="2"/>
      <c r="L170" s="2"/>
      <c r="M170" s="2"/>
      <c r="N170" s="2"/>
      <c r="O170" s="2"/>
      <c r="P170" s="2"/>
      <c r="Q170" s="2"/>
      <c r="R170" s="2"/>
      <c r="S170" s="2"/>
      <c r="T170" s="2"/>
      <c r="V170" s="2"/>
      <c r="W170" s="2"/>
      <c r="X170" s="2"/>
      <c r="Y170" s="2"/>
      <c r="Z170" s="2"/>
      <c r="AA170" s="2"/>
      <c r="AB170" s="2"/>
      <c r="AC170" s="2"/>
      <c r="AD170" s="2"/>
      <c r="AE170" s="2"/>
      <c r="AF170" s="2"/>
      <c r="AG170" s="2"/>
      <c r="AH170" s="2"/>
      <c r="AI170" s="2"/>
      <c r="AJ170" s="2"/>
      <c r="AK170" s="2"/>
      <c r="AL170" s="2"/>
      <c r="AM170" s="2"/>
      <c r="AN170" s="2"/>
      <c r="AO170" s="2"/>
      <c r="AP170" s="2"/>
      <c r="AQ170" s="2"/>
      <c r="AR170" s="2"/>
      <c r="AS170" s="2"/>
      <c r="AT170" s="2"/>
      <c r="AU170" s="2"/>
      <c r="AV170" s="2"/>
      <c r="AX170" s="2"/>
      <c r="AY170" s="2"/>
      <c r="AZ170" s="2"/>
      <c r="BA170" s="2"/>
      <c r="BB170" s="2"/>
      <c r="BC170" s="2"/>
      <c r="BD170" s="2"/>
      <c r="BE170" s="2"/>
      <c r="BF170" s="2"/>
      <c r="BG170" s="2"/>
      <c r="BH170" s="2"/>
      <c r="BI170" s="2"/>
      <c r="BL170" s="2"/>
      <c r="BM170" s="2"/>
    </row>
    <row r="171" spans="6:65" ht="17.100000000000001" hidden="1" customHeight="1">
      <c r="F171" s="2"/>
      <c r="G171" s="2"/>
      <c r="H171" s="2" t="s">
        <v>55</v>
      </c>
      <c r="I171" s="2"/>
      <c r="J171" s="2"/>
      <c r="K171" s="2"/>
      <c r="L171" s="2"/>
      <c r="M171" s="2"/>
      <c r="N171" s="2"/>
      <c r="O171" s="2"/>
      <c r="P171" s="2"/>
      <c r="Q171" s="2"/>
      <c r="R171" s="2"/>
      <c r="S171" s="2"/>
      <c r="T171" s="2"/>
      <c r="V171" s="2"/>
      <c r="W171" s="2"/>
      <c r="X171" s="2" t="s">
        <v>55</v>
      </c>
      <c r="Y171" s="2"/>
      <c r="Z171" s="2"/>
      <c r="AA171" s="2"/>
      <c r="AB171" s="2"/>
      <c r="AC171" s="2"/>
      <c r="AD171" s="2"/>
      <c r="AE171" s="2"/>
      <c r="AF171" s="2"/>
      <c r="AG171" s="2"/>
      <c r="AH171" s="2"/>
      <c r="AI171" s="2"/>
      <c r="AJ171" s="2"/>
      <c r="AK171" s="2"/>
      <c r="AL171" s="2" t="s">
        <v>55</v>
      </c>
      <c r="AM171" s="2"/>
      <c r="AN171" s="2"/>
      <c r="AO171" s="2"/>
      <c r="AP171" s="2"/>
      <c r="AQ171" s="2"/>
      <c r="AR171" s="2"/>
      <c r="AS171" s="2"/>
      <c r="AT171" s="2"/>
      <c r="AU171" s="2"/>
      <c r="AV171" s="2"/>
      <c r="AX171" s="2"/>
      <c r="AY171" s="2"/>
      <c r="AZ171" s="2" t="s">
        <v>55</v>
      </c>
      <c r="BA171" s="2"/>
      <c r="BB171" s="2"/>
      <c r="BC171" s="2"/>
      <c r="BD171" s="2"/>
      <c r="BE171" s="2"/>
      <c r="BF171" s="2"/>
      <c r="BG171" s="2"/>
      <c r="BH171" s="2"/>
      <c r="BI171" s="2"/>
      <c r="BL171" s="2"/>
      <c r="BM171" s="2"/>
    </row>
    <row r="172" spans="6:65" s="123" customFormat="1" hidden="1">
      <c r="F172" s="126"/>
      <c r="G172" s="127" t="s">
        <v>56</v>
      </c>
      <c r="H172" s="127" t="s">
        <v>71</v>
      </c>
      <c r="I172" s="126" t="s">
        <v>58</v>
      </c>
      <c r="J172" s="126" t="s">
        <v>58</v>
      </c>
      <c r="K172" s="127" t="s">
        <v>59</v>
      </c>
      <c r="L172" s="126" t="s">
        <v>60</v>
      </c>
      <c r="M172" s="126" t="s">
        <v>61</v>
      </c>
      <c r="N172" s="126" t="s">
        <v>62</v>
      </c>
      <c r="O172" s="126"/>
      <c r="P172" s="126"/>
      <c r="Q172" s="126"/>
      <c r="R172" s="126"/>
      <c r="S172" s="126"/>
      <c r="T172" s="126"/>
      <c r="V172" s="126"/>
      <c r="W172" s="127" t="s">
        <v>56</v>
      </c>
      <c r="X172" s="127" t="s">
        <v>71</v>
      </c>
      <c r="Y172" s="126" t="s">
        <v>58</v>
      </c>
      <c r="Z172" s="126" t="s">
        <v>58</v>
      </c>
      <c r="AA172" s="127" t="s">
        <v>59</v>
      </c>
      <c r="AB172" s="126" t="s">
        <v>60</v>
      </c>
      <c r="AC172" s="126" t="s">
        <v>61</v>
      </c>
      <c r="AD172" s="126" t="s">
        <v>62</v>
      </c>
      <c r="AE172" s="126"/>
      <c r="AF172" s="126"/>
      <c r="AG172" s="126"/>
      <c r="AH172" s="126"/>
      <c r="AI172" s="126"/>
      <c r="AJ172" s="126"/>
      <c r="AK172" s="127" t="s">
        <v>56</v>
      </c>
      <c r="AL172" s="127" t="s">
        <v>71</v>
      </c>
      <c r="AM172" s="126" t="s">
        <v>58</v>
      </c>
      <c r="AN172" s="126" t="s">
        <v>58</v>
      </c>
      <c r="AO172" s="127" t="s">
        <v>59</v>
      </c>
      <c r="AP172" s="126" t="s">
        <v>60</v>
      </c>
      <c r="AQ172" s="126" t="s">
        <v>61</v>
      </c>
      <c r="AR172" s="126" t="s">
        <v>62</v>
      </c>
      <c r="AS172" s="126"/>
      <c r="AT172" s="126"/>
      <c r="AU172" s="126"/>
      <c r="AV172" s="126"/>
      <c r="AX172" s="126"/>
      <c r="AY172" s="127" t="s">
        <v>56</v>
      </c>
      <c r="AZ172" s="127" t="s">
        <v>71</v>
      </c>
      <c r="BA172" s="126" t="s">
        <v>58</v>
      </c>
      <c r="BB172" s="126" t="s">
        <v>58</v>
      </c>
      <c r="BC172" s="127" t="s">
        <v>59</v>
      </c>
      <c r="BD172" s="126" t="s">
        <v>60</v>
      </c>
      <c r="BE172" s="126" t="s">
        <v>61</v>
      </c>
      <c r="BF172" s="126" t="s">
        <v>62</v>
      </c>
      <c r="BG172" s="126"/>
      <c r="BH172" s="126"/>
      <c r="BI172" s="126"/>
      <c r="BL172" s="126"/>
      <c r="BM172" s="126"/>
    </row>
    <row r="173" spans="6:65" s="123" customFormat="1" hidden="1">
      <c r="F173" s="126">
        <v>1</v>
      </c>
      <c r="G173" s="128" t="s">
        <v>63</v>
      </c>
      <c r="H173" s="126">
        <f>IF(I86=2, 0.0022, IF(I86=3, 0.0022, IF(I86=4, 0.0011, IF(I86=5, 0.0011, IF(I86=6, 0.0014, IF(I86=7, 0.0014, IF(I86=8, 0.0016, IF(I86=9, 0.0016, IF(I86=1, 0.00154, "")))))))))</f>
        <v>1.5399999999999999E-3</v>
      </c>
      <c r="I173" s="128">
        <f>IF((J$11=G173),F173,"")</f>
        <v>1</v>
      </c>
      <c r="J173" s="128">
        <f>IFERROR(SMALL(I$173:I$178,F173),"")</f>
        <v>1</v>
      </c>
      <c r="K173" s="128">
        <f>IF(I86=1, 64.25, IF(I86=2, 69.333, IF(I86=3, 69.333, IF(I86=4, 69.333, IF(I86=5, 64.25, IF(I86=6,64.25, IF(I86=7,64.25, IF(I86=8, 64.25, IF(I86=9, 64.25,"")))))))))</f>
        <v>64.25</v>
      </c>
      <c r="L173" s="3">
        <f>IF(J$173=F173,J$13*H173*9320)</f>
        <v>717640</v>
      </c>
      <c r="M173" s="3">
        <f>IF(J$173=F173,J$14*H173*9320)</f>
        <v>0</v>
      </c>
      <c r="N173" s="3">
        <f>(((L173-M173)/1000)*0.000001)*J$7</f>
        <v>7.1763999999999997E-4</v>
      </c>
      <c r="O173" s="126" t="s">
        <v>64</v>
      </c>
      <c r="P173" s="126"/>
      <c r="Q173" s="126"/>
      <c r="R173" s="126"/>
      <c r="S173" s="126"/>
      <c r="T173" s="126"/>
      <c r="V173" s="126">
        <v>1</v>
      </c>
      <c r="W173" s="128" t="s">
        <v>63</v>
      </c>
      <c r="X173" s="126">
        <f>IF(Y86=2, 0.0022, IF(Y86=3, 0.0022, IF(Y86=4, 0.0011, IF(Y86=5, 0.0011, IF(Y86=6, 0.0014, IF(Y86=7, 0.0014, IF(Y86=8, 0.0016, IF(Y86=9, 0.0016, IF(Y86=1, 0.00154, "")))))))))</f>
        <v>1.5399999999999999E-3</v>
      </c>
      <c r="Y173" s="128">
        <f>IF((K$11=W173),V173,"")</f>
        <v>1</v>
      </c>
      <c r="Z173" s="128">
        <f>IFERROR(SMALL(Y$173:Y$178,V173),"")</f>
        <v>1</v>
      </c>
      <c r="AA173" s="128">
        <f>IF(Y86=1, 64.25, IF(Y86=2, 69.333, IF(Y86=3, 69.333, IF(Y86=4, 69.333, IF(Y86=5, 64.25, IF(Y86=6,64.25, IF(Y86=7,64.25, IF(Y86=8, 64.25, IF(Y86=9, 64.25,"")))))))))</f>
        <v>64.25</v>
      </c>
      <c r="AB173" s="3">
        <f>IF(Z$173=V173,K$13*X173*9320)</f>
        <v>717640</v>
      </c>
      <c r="AC173" s="3">
        <f>IF(Z$173=V173,K$14*X173*9320)</f>
        <v>0</v>
      </c>
      <c r="AD173" s="3">
        <f>(((AB173-AC173)/1000)*0.000001)*K$7</f>
        <v>7.1763999999999997E-4</v>
      </c>
      <c r="AE173" s="126" t="s">
        <v>64</v>
      </c>
      <c r="AF173" s="126"/>
      <c r="AG173" s="126"/>
      <c r="AH173" s="126"/>
      <c r="AI173" s="126"/>
      <c r="AJ173" s="126">
        <v>1</v>
      </c>
      <c r="AK173" s="128" t="s">
        <v>63</v>
      </c>
      <c r="AL173" s="126">
        <f>IF(AM86=2, 0.0022, IF(AM86=3, 0.0022, IF(AM86=4, 0.0011, IF(AM86=5, 0.0011, IF(AM86=6, 0.0014, IF(AM86=7, 0.0014, IF(AM86=8, 0.0016, IF(AM86=9, 0.0016, IF(AM86=1, 0.00154, "")))))))))</f>
        <v>1.5399999999999999E-3</v>
      </c>
      <c r="AM173" s="128">
        <f t="shared" ref="AM173:AM178" si="73">IF((L$11=AK173),AJ173,"")</f>
        <v>1</v>
      </c>
      <c r="AN173" s="128">
        <f>IFERROR(SMALL(AM$173:AM$178,AJ173),"")</f>
        <v>1</v>
      </c>
      <c r="AO173" s="128">
        <f>IF(AM86=1, 64.25, IF(AM86=2, 69.333, IF(AM86=3, 69.333, IF(AM86=4, 69.333, IF(AM86=5, 64.25, IF(AM86=6,64.25, IF(AM86=7,64.25, IF(AM86=8, 64.25, IF(AM86=9, 64.25,"")))))))))</f>
        <v>64.25</v>
      </c>
      <c r="AP173" s="3">
        <f>IF(AN$173=AJ173,L$13*AL173*9320)</f>
        <v>717640</v>
      </c>
      <c r="AQ173" s="3">
        <f>IF(AN$173=AJ173,L$14*AL173*9320)</f>
        <v>0</v>
      </c>
      <c r="AR173" s="3">
        <f>(((AP173-AQ173)/1000)*0.000001)*L$7</f>
        <v>7.1763999999999997E-4</v>
      </c>
      <c r="AS173" s="126" t="s">
        <v>64</v>
      </c>
      <c r="AT173" s="126"/>
      <c r="AU173" s="126"/>
      <c r="AV173" s="126"/>
      <c r="AX173" s="126">
        <v>1</v>
      </c>
      <c r="AY173" s="128" t="s">
        <v>63</v>
      </c>
      <c r="AZ173" s="126">
        <f>IF(BA86=2, 0.0022, IF(BA86=3, 0.0022, IF(BA86=4, 0.0011, IF(BA86=5, 0.0011, IF(BA86=6, 0.0014, IF(BA86=7, 0.0014, IF(BA86=8, 0.0016, IF(BA86=9, 0.0016, IF(BA86=1, 0.00154, "")))))))))</f>
        <v>1.5399999999999999E-3</v>
      </c>
      <c r="BA173" s="128">
        <f>IF((M$11=AY173),AX173,"")</f>
        <v>1</v>
      </c>
      <c r="BB173" s="128">
        <f>IFERROR(SMALL(BA$173:BA$178,AX173),"")</f>
        <v>1</v>
      </c>
      <c r="BC173" s="128">
        <f>IF(BA86=1, 64.25, IF(BA86=2, 69.333, IF(BA86=3, 69.333, IF(BA86=4, 69.333, IF(BA86=5, 64.25, IF(BA86=6,64.25, IF(BA86=7,64.25, IF(BA86=8, 64.25, IF(BA86=9, 64.25,"")))))))))</f>
        <v>64.25</v>
      </c>
      <c r="BD173" s="3">
        <f>IF(BB$173=AX173,M$13*AZ173*9320)</f>
        <v>717640</v>
      </c>
      <c r="BE173" s="3">
        <f>IF(BB$173=AX173,M$14*AZ173*9320)</f>
        <v>0</v>
      </c>
      <c r="BF173" s="3">
        <f>(((BD173-BE173)/1000)*0.000001)*M$7</f>
        <v>7.1763999999999997E-4</v>
      </c>
      <c r="BG173" s="126" t="s">
        <v>64</v>
      </c>
      <c r="BH173" s="126"/>
      <c r="BI173" s="126"/>
      <c r="BL173" s="126"/>
      <c r="BM173" s="126"/>
    </row>
    <row r="174" spans="6:65" s="123" customFormat="1" hidden="1">
      <c r="F174" s="126">
        <v>2</v>
      </c>
      <c r="G174" s="128" t="s">
        <v>106</v>
      </c>
      <c r="H174" s="126">
        <f>IF(I86=2, 0.0842, IF(I86=3, 0.0548, IF(I86=4, 0.0391, IF(I86=5, 0.314, IF(I86=6, 0.0021, IF(I86=7, 0.0015, IF(I86=8, 0.0015, IF(I86=9, 0.0015, IF(I86=1, 0.02239, "")))))))))</f>
        <v>2.239E-2</v>
      </c>
      <c r="I174" s="128" t="str">
        <f t="shared" ref="I174:I175" si="74">IF((J$11=G174),F174,"")</f>
        <v/>
      </c>
      <c r="J174" s="128" t="str">
        <f>IFERROR(SMALL(I$173:I$178,F174),"")</f>
        <v/>
      </c>
      <c r="K174" s="128">
        <f>IF(I86=1, 55.333, IF(I86=2, 64, IF(I86=3, 64, IF(I86=4, 64, IF(I86=5, 55.333, IF(I86=6,55.333, IF(I86=7,55.333, IF(I86=8, 55.333, IF(I86=9, 55.333,"")))))))))</f>
        <v>55.332999999999998</v>
      </c>
      <c r="L174" s="3" t="b">
        <f>IF(J$173=F174,J$13*H174*14415)</f>
        <v>0</v>
      </c>
      <c r="M174" s="3" t="b">
        <f>IF(J$173=F174,J$14*H174*14415)</f>
        <v>0</v>
      </c>
      <c r="N174" s="3">
        <f>(((L174-M174)/1000)*0.000001)*J$7</f>
        <v>0</v>
      </c>
      <c r="O174" s="126" t="s">
        <v>64</v>
      </c>
      <c r="P174" s="126"/>
      <c r="Q174" s="126"/>
      <c r="R174" s="126"/>
      <c r="S174" s="126"/>
      <c r="T174" s="126"/>
      <c r="V174" s="126">
        <v>2</v>
      </c>
      <c r="W174" s="128" t="s">
        <v>106</v>
      </c>
      <c r="X174" s="126">
        <f>IF(Y86=2, 0.0842, IF(Y86=3, 0.0548, IF(Y86=4, 0.0391, IF(Y86=5, 0.314, IF(Y86=6, 0.0021, IF(Y86=7, 0.0015, IF(Y86=8, 0.0015, IF(Y86=9, 0.0015, IF(Y86=1, 0.02239, "")))))))))</f>
        <v>2.239E-2</v>
      </c>
      <c r="Y174" s="128" t="str">
        <f t="shared" ref="Y174:Y178" si="75">IF((K$11=W174),V174,"")</f>
        <v/>
      </c>
      <c r="Z174" s="128" t="str">
        <f>IFERROR(SMALL(Y$173:Y$178,V174),"")</f>
        <v/>
      </c>
      <c r="AA174" s="128">
        <f>IF(Y86=1, 55.333, IF(Y86=2, 64, IF(Y86=3, 64, IF(Y86=4, 64, IF(Y86=5, 55.333, IF(Y86=6,55.333, IF(Y86=7,55.333, IF(Y86=8, 55.333, IF(Y86=9, 55.333,"")))))))))</f>
        <v>55.332999999999998</v>
      </c>
      <c r="AB174" s="3" t="b">
        <f>IF(Z$173=V174,K$13*X174*14415)</f>
        <v>0</v>
      </c>
      <c r="AC174" s="3" t="b">
        <f>IF(Z$173=V174,K$14*X174*14415)</f>
        <v>0</v>
      </c>
      <c r="AD174" s="3">
        <f>(((AB174-AC174)/1000)*0.000001)*K$7</f>
        <v>0</v>
      </c>
      <c r="AE174" s="126" t="s">
        <v>64</v>
      </c>
      <c r="AF174" s="126"/>
      <c r="AG174" s="126"/>
      <c r="AH174" s="126"/>
      <c r="AI174" s="126"/>
      <c r="AJ174" s="126">
        <v>2</v>
      </c>
      <c r="AK174" s="128" t="s">
        <v>106</v>
      </c>
      <c r="AL174" s="126">
        <f>IF(AM86=2, 0.0842, IF(AM86=3, 0.0548, IF(AM86=4, 0.0391, IF(AM86=5, 0.314, IF(AM86=6, 0.0021, IF(AM86=7, 0.0015, IF(AM86=8, 0.0015, IF(AM86=9, 0.0015, IF(AM86=1, 0.02239, "")))))))))</f>
        <v>2.239E-2</v>
      </c>
      <c r="AM174" s="128" t="str">
        <f t="shared" si="73"/>
        <v/>
      </c>
      <c r="AN174" s="128" t="str">
        <f>IFERROR(SMALL(AM$173:AM$178,AJ174),"")</f>
        <v/>
      </c>
      <c r="AO174" s="128">
        <f>IF(AM86=1, 55.333, IF(AM86=2, 64, IF(AM86=3, 64, IF(AM86=4, 64, IF(AM86=5, 55.333, IF(AM86=6,55.333, IF(AM86=7,55.333, IF(AM86=8, 55.333, IF(AM86=9, 55.333,"")))))))))</f>
        <v>55.332999999999998</v>
      </c>
      <c r="AP174" s="3" t="b">
        <f>IF(AN$173=AJ174,L$13*AL174*14415)</f>
        <v>0</v>
      </c>
      <c r="AQ174" s="3" t="b">
        <f>IF(AN$173=AJ174,L$14*AL174*14415)</f>
        <v>0</v>
      </c>
      <c r="AR174" s="3">
        <f>(((AP174-AQ174)/1000)*0.000001)*L$7</f>
        <v>0</v>
      </c>
      <c r="AS174" s="126" t="s">
        <v>64</v>
      </c>
      <c r="AT174" s="126"/>
      <c r="AU174" s="126"/>
      <c r="AV174" s="126"/>
      <c r="AX174" s="126">
        <v>2</v>
      </c>
      <c r="AY174" s="128" t="s">
        <v>106</v>
      </c>
      <c r="AZ174" s="126">
        <f>IF(BA86=2, 0.0842, IF(BA86=3, 0.0548, IF(BA86=4, 0.0391, IF(BA86=5, 0.314, IF(BA86=6, 0.0021, IF(BA86=7, 0.0015, IF(BA86=8, 0.0015, IF(BA86=9, 0.0015, IF(BA86=1, 0.02239, "")))))))))</f>
        <v>2.239E-2</v>
      </c>
      <c r="BA174" s="128" t="str">
        <f t="shared" ref="BA174:BA178" si="76">IF((M$11=AY174),AX174,"")</f>
        <v/>
      </c>
      <c r="BB174" s="128" t="str">
        <f>IFERROR(SMALL(BA$173:BA$178,AX174),"")</f>
        <v/>
      </c>
      <c r="BC174" s="128">
        <f>IF(BA86=1, 55.333, IF(BA86=2, 64, IF(BA86=3, 64, IF(BA86=4, 64, IF(BA86=5, 55.333, IF(BA86=6,55.333, IF(BA86=7,55.333, IF(BA86=8, 55.333, IF(BA86=9, 55.333,"")))))))))</f>
        <v>55.332999999999998</v>
      </c>
      <c r="BD174" s="3" t="b">
        <f>IF(BB$173=AX174,M$13*AZ174*14415)</f>
        <v>0</v>
      </c>
      <c r="BE174" s="3" t="b">
        <f>IF(BB$173=AX174,M$14*AZ174*14415)</f>
        <v>0</v>
      </c>
      <c r="BF174" s="3">
        <f>(((BD174-BE174)/1000)*0.000001)*M$7</f>
        <v>0</v>
      </c>
      <c r="BG174" s="126" t="s">
        <v>64</v>
      </c>
      <c r="BH174" s="126"/>
      <c r="BI174" s="126"/>
      <c r="BL174" s="126"/>
      <c r="BM174" s="126"/>
    </row>
    <row r="175" spans="6:65" s="123" customFormat="1" hidden="1">
      <c r="F175" s="126">
        <v>3</v>
      </c>
      <c r="G175" s="128" t="s">
        <v>65</v>
      </c>
      <c r="H175" s="128">
        <f>IF(N86=2,0.0022,IF(N86=3,0.0022,IF(N86=4,0.0011,IF(N86=5,0.0011,IF(N86=1,0.00165, "")))))</f>
        <v>1.65E-3</v>
      </c>
      <c r="I175" s="128" t="str">
        <f t="shared" si="74"/>
        <v/>
      </c>
      <c r="J175" s="128" t="str">
        <f>IFERROR(SMALL(I$173:I$178,F175),"")</f>
        <v/>
      </c>
      <c r="K175" s="128">
        <f>57</f>
        <v>57</v>
      </c>
      <c r="L175" s="3" t="b">
        <f>IF(J$173=F175,J$13*H175*12310)</f>
        <v>0</v>
      </c>
      <c r="M175" s="3" t="b">
        <f>IF(J$173=F175,J$14*H175*12310)</f>
        <v>0</v>
      </c>
      <c r="N175" s="3">
        <f>(((L175-M175)/1000)*0.000001)*J$7</f>
        <v>0</v>
      </c>
      <c r="O175" s="126" t="s">
        <v>64</v>
      </c>
      <c r="P175" s="126"/>
      <c r="Q175" s="126"/>
      <c r="R175" s="126"/>
      <c r="S175" s="126"/>
      <c r="T175" s="126"/>
      <c r="V175" s="126">
        <v>3</v>
      </c>
      <c r="W175" s="128" t="s">
        <v>65</v>
      </c>
      <c r="X175" s="128">
        <f>IF(AD86=2,0.0022,IF(AD86=3,0.0022,IF(AD86=4,0.0011,IF(AD86=5,0.0011,IF(AD86=1,0.00165, "")))))</f>
        <v>1.65E-3</v>
      </c>
      <c r="Y175" s="128" t="str">
        <f>IF((K$11=W175),V175,"")</f>
        <v/>
      </c>
      <c r="Z175" s="128" t="str">
        <f>IFERROR(SMALL(Y$173:Y$178,V175),"")</f>
        <v/>
      </c>
      <c r="AA175" s="128">
        <f>57</f>
        <v>57</v>
      </c>
      <c r="AB175" s="3" t="b">
        <f>IF(Z$173=V175,K$13*X175*12310)</f>
        <v>0</v>
      </c>
      <c r="AC175" s="3" t="b">
        <f>IF(Z$173=V175,K$14*X175*12310)</f>
        <v>0</v>
      </c>
      <c r="AD175" s="3">
        <f>(((AB175-AC175)/1000)*0.000001)*K$7</f>
        <v>0</v>
      </c>
      <c r="AE175" s="126" t="s">
        <v>64</v>
      </c>
      <c r="AF175" s="126"/>
      <c r="AG175" s="126"/>
      <c r="AH175" s="126"/>
      <c r="AI175" s="126"/>
      <c r="AJ175" s="126">
        <v>3</v>
      </c>
      <c r="AK175" s="128" t="s">
        <v>65</v>
      </c>
      <c r="AL175" s="128">
        <f>IF(AR86=2,0.0022,IF(AR86=3,0.0022,IF(AR86=4,0.0011,IF(AR86=5,0.0011,IF(AR86=1,0.00165, "")))))</f>
        <v>1.65E-3</v>
      </c>
      <c r="AM175" s="128" t="str">
        <f t="shared" si="73"/>
        <v/>
      </c>
      <c r="AN175" s="128" t="str">
        <f>IFERROR(SMALL(AM$173:AM$178,AJ175),"")</f>
        <v/>
      </c>
      <c r="AO175" s="128">
        <f>57</f>
        <v>57</v>
      </c>
      <c r="AP175" s="3" t="b">
        <f>IF(AN$173=AJ175,L$13*AL175*12310)</f>
        <v>0</v>
      </c>
      <c r="AQ175" s="3" t="b">
        <f>IF(AN$173=AJ175,L$14*AL175*12310)</f>
        <v>0</v>
      </c>
      <c r="AR175" s="3">
        <f>(((AP175-AQ175)/1000)*0.000001)*L$7</f>
        <v>0</v>
      </c>
      <c r="AS175" s="126" t="s">
        <v>64</v>
      </c>
      <c r="AT175" s="126"/>
      <c r="AU175" s="126"/>
      <c r="AV175" s="126"/>
      <c r="AX175" s="126">
        <v>3</v>
      </c>
      <c r="AY175" s="128" t="s">
        <v>65</v>
      </c>
      <c r="AZ175" s="128">
        <f>IF(BF86=2,0.0022,IF(BF86=3,0.0022,IF(BF86=4,0.0011,IF(BF86=5,0.0011,IF(BF86=1,0.00165, "")))))</f>
        <v>1.65E-3</v>
      </c>
      <c r="BA175" s="128" t="str">
        <f t="shared" si="76"/>
        <v/>
      </c>
      <c r="BB175" s="128" t="str">
        <f>IFERROR(SMALL(BA$173:BA$178,AX175),"")</f>
        <v/>
      </c>
      <c r="BC175" s="128">
        <f>57</f>
        <v>57</v>
      </c>
      <c r="BD175" s="3" t="b">
        <f>IF(BB$173=AX175,M$13*AZ175*12310)</f>
        <v>0</v>
      </c>
      <c r="BE175" s="3" t="b">
        <f>IF(BB$173=AX175,M$14*AZ175*12310)</f>
        <v>0</v>
      </c>
      <c r="BF175" s="3">
        <f>(((BD175-BE175)/1000)*0.000001)*M$7</f>
        <v>0</v>
      </c>
      <c r="BG175" s="126" t="s">
        <v>64</v>
      </c>
      <c r="BH175" s="126"/>
      <c r="BI175" s="126"/>
      <c r="BL175" s="126"/>
      <c r="BM175" s="126"/>
    </row>
    <row r="176" spans="6:65" s="123" customFormat="1" hidden="1">
      <c r="F176" s="126">
        <v>4</v>
      </c>
      <c r="G176" s="128" t="s">
        <v>66</v>
      </c>
      <c r="H176" s="128">
        <v>1.5E-3</v>
      </c>
      <c r="I176" s="128" t="str">
        <f>IF((Q$11=G176),F176,"")</f>
        <v/>
      </c>
      <c r="J176" s="128" t="str">
        <f>IFERROR(SMALL(I$168:I$180,F176),"")</f>
        <v/>
      </c>
      <c r="K176" s="128">
        <f>39.57</f>
        <v>39.57</v>
      </c>
      <c r="L176" s="128" t="b">
        <f>IF(J$168=F176,I$9*(K176*H176))</f>
        <v>0</v>
      </c>
      <c r="M176" s="128" t="b">
        <f>IF(J$168=F176,L$9*(K176*H176))</f>
        <v>0</v>
      </c>
      <c r="N176" s="128">
        <f>L176-M176</f>
        <v>0</v>
      </c>
      <c r="O176" s="126"/>
      <c r="P176" s="126"/>
      <c r="Q176" s="126"/>
      <c r="R176" s="126"/>
      <c r="S176" s="126"/>
      <c r="T176" s="126"/>
      <c r="V176" s="126">
        <v>4</v>
      </c>
      <c r="W176" s="128" t="s">
        <v>66</v>
      </c>
      <c r="X176" s="128">
        <v>1.5E-3</v>
      </c>
      <c r="Y176" s="128" t="str">
        <f t="shared" si="75"/>
        <v/>
      </c>
      <c r="Z176" s="128" t="str">
        <f>IFERROR(SMALL(Y$168:Y$180,V176),"")</f>
        <v/>
      </c>
      <c r="AA176" s="128">
        <f>39.57</f>
        <v>39.57</v>
      </c>
      <c r="AB176" s="128" t="b">
        <f>IF(Z$168=V176,Y$9*(AA176*X176))</f>
        <v>0</v>
      </c>
      <c r="AC176" s="128" t="b">
        <f>IF(Z$168=V176,AB$9*(AA176*X176))</f>
        <v>0</v>
      </c>
      <c r="AD176" s="128">
        <f>AB176-AC176</f>
        <v>0</v>
      </c>
      <c r="AE176" s="126"/>
      <c r="AF176" s="126"/>
      <c r="AG176" s="126"/>
      <c r="AH176" s="126"/>
      <c r="AI176" s="126"/>
      <c r="AJ176" s="126">
        <v>4</v>
      </c>
      <c r="AK176" s="128" t="s">
        <v>66</v>
      </c>
      <c r="AL176" s="128">
        <v>1.5E-3</v>
      </c>
      <c r="AM176" s="128" t="str">
        <f t="shared" si="73"/>
        <v/>
      </c>
      <c r="AN176" s="128" t="str">
        <f>IFERROR(SMALL(AM$168:AM$180,AJ176),"")</f>
        <v/>
      </c>
      <c r="AO176" s="128">
        <f>39.57</f>
        <v>39.57</v>
      </c>
      <c r="AP176" s="128" t="b">
        <f>IF(AN$168=AJ176,AM$9*(AO176*AL176))</f>
        <v>0</v>
      </c>
      <c r="AQ176" s="128" t="b">
        <f>IF(AN$168=AJ176,AP$9*(AO176*AL176))</f>
        <v>0</v>
      </c>
      <c r="AR176" s="128">
        <f>AP176-AQ176</f>
        <v>0</v>
      </c>
      <c r="AS176" s="126"/>
      <c r="AT176" s="126"/>
      <c r="AU176" s="126"/>
      <c r="AV176" s="126"/>
      <c r="AX176" s="126">
        <v>4</v>
      </c>
      <c r="AY176" s="128" t="s">
        <v>66</v>
      </c>
      <c r="AZ176" s="128">
        <v>1.5E-3</v>
      </c>
      <c r="BA176" s="128" t="str">
        <f t="shared" si="76"/>
        <v/>
      </c>
      <c r="BB176" s="128" t="str">
        <f>IFERROR(SMALL(BA$168:BA$180,AX176),"")</f>
        <v/>
      </c>
      <c r="BC176" s="128">
        <f>39.57</f>
        <v>39.57</v>
      </c>
      <c r="BD176" s="128" t="b">
        <f>IF(BB$168=AX176,BA$9*(BC176*AZ176))</f>
        <v>0</v>
      </c>
      <c r="BE176" s="128" t="b">
        <f>IF(BB$168=AX176,BD$9*(BC176*AZ176))</f>
        <v>0</v>
      </c>
      <c r="BF176" s="128">
        <f>BD176-BE176</f>
        <v>0</v>
      </c>
      <c r="BG176" s="126"/>
      <c r="BH176" s="126"/>
      <c r="BI176" s="126"/>
      <c r="BL176" s="126"/>
      <c r="BM176" s="126"/>
    </row>
    <row r="177" spans="6:65" s="123" customFormat="1" hidden="1">
      <c r="F177" s="126">
        <v>5</v>
      </c>
      <c r="G177" s="128" t="s">
        <v>67</v>
      </c>
      <c r="H177" s="128">
        <v>1.1000000000000001E-3</v>
      </c>
      <c r="I177" s="128" t="str">
        <f>IF((Q$11=G177),F177,"")</f>
        <v/>
      </c>
      <c r="J177" s="128" t="str">
        <f>IFERROR(SMALL(I$168:I$180,F177),"")</f>
        <v/>
      </c>
      <c r="K177" s="128">
        <f>87</f>
        <v>87</v>
      </c>
      <c r="L177" s="128" t="b">
        <f>IF(J$168=F177,I$9*(K177*H177))</f>
        <v>0</v>
      </c>
      <c r="M177" s="128" t="b">
        <f>IF(J$168=F177,L$9*(K177*H177))</f>
        <v>0</v>
      </c>
      <c r="N177" s="128">
        <f>L177-M177</f>
        <v>0</v>
      </c>
      <c r="O177" s="126"/>
      <c r="P177" s="126"/>
      <c r="Q177" s="126"/>
      <c r="R177" s="126"/>
      <c r="S177" s="126"/>
      <c r="T177" s="126"/>
      <c r="V177" s="126">
        <v>5</v>
      </c>
      <c r="W177" s="128" t="s">
        <v>67</v>
      </c>
      <c r="X177" s="128">
        <v>1.1000000000000001E-3</v>
      </c>
      <c r="Y177" s="128" t="str">
        <f t="shared" si="75"/>
        <v/>
      </c>
      <c r="Z177" s="128" t="str">
        <f>IFERROR(SMALL(Y$168:Y$180,V177),"")</f>
        <v/>
      </c>
      <c r="AA177" s="128">
        <f>87</f>
        <v>87</v>
      </c>
      <c r="AB177" s="128" t="b">
        <f>IF(Z$168=V177,Y$9*(AA177*X177))</f>
        <v>0</v>
      </c>
      <c r="AC177" s="128" t="b">
        <f>IF(Z$168=V177,AB$9*(AA177*X177))</f>
        <v>0</v>
      </c>
      <c r="AD177" s="128">
        <f>AB177-AC177</f>
        <v>0</v>
      </c>
      <c r="AE177" s="126"/>
      <c r="AF177" s="126"/>
      <c r="AG177" s="126"/>
      <c r="AH177" s="126"/>
      <c r="AI177" s="126"/>
      <c r="AJ177" s="126">
        <v>5</v>
      </c>
      <c r="AK177" s="128" t="s">
        <v>67</v>
      </c>
      <c r="AL177" s="128">
        <v>1.1000000000000001E-3</v>
      </c>
      <c r="AM177" s="128" t="str">
        <f t="shared" si="73"/>
        <v/>
      </c>
      <c r="AN177" s="128" t="str">
        <f>IFERROR(SMALL(AM$168:AM$180,AJ177),"")</f>
        <v/>
      </c>
      <c r="AO177" s="128">
        <f>87</f>
        <v>87</v>
      </c>
      <c r="AP177" s="128" t="b">
        <f>IF(AN$168=AJ177,AM$9*(AO177*AL177))</f>
        <v>0</v>
      </c>
      <c r="AQ177" s="128" t="b">
        <f>IF(AN$168=AJ177,AP$9*(AO177*AL177))</f>
        <v>0</v>
      </c>
      <c r="AR177" s="128">
        <f>AP177-AQ177</f>
        <v>0</v>
      </c>
      <c r="AS177" s="126"/>
      <c r="AT177" s="126"/>
      <c r="AU177" s="126"/>
      <c r="AV177" s="126"/>
      <c r="AX177" s="126">
        <v>5</v>
      </c>
      <c r="AY177" s="128" t="s">
        <v>67</v>
      </c>
      <c r="AZ177" s="128">
        <v>1.1000000000000001E-3</v>
      </c>
      <c r="BA177" s="128" t="str">
        <f t="shared" si="76"/>
        <v/>
      </c>
      <c r="BB177" s="128" t="str">
        <f>IFERROR(SMALL(BA$168:BA$180,AX177),"")</f>
        <v/>
      </c>
      <c r="BC177" s="128">
        <f>87</f>
        <v>87</v>
      </c>
      <c r="BD177" s="128" t="b">
        <f>IF(BB$168=AX177,BA$9*(BC177*AZ177))</f>
        <v>0</v>
      </c>
      <c r="BE177" s="128" t="b">
        <f>IF(BB$168=AX177,BD$9*(BC177*AZ177))</f>
        <v>0</v>
      </c>
      <c r="BF177" s="128">
        <f>BD177-BE177</f>
        <v>0</v>
      </c>
      <c r="BG177" s="126"/>
      <c r="BH177" s="126"/>
      <c r="BI177" s="126"/>
      <c r="BL177" s="126"/>
      <c r="BM177" s="126"/>
    </row>
    <row r="178" spans="6:65" s="123" customFormat="1" hidden="1">
      <c r="F178" s="126">
        <v>6</v>
      </c>
      <c r="G178" s="128" t="s">
        <v>68</v>
      </c>
      <c r="H178" s="128">
        <v>1E-3</v>
      </c>
      <c r="I178" s="128" t="str">
        <f>IF((Q$11=G178),F178,"")</f>
        <v/>
      </c>
      <c r="J178" s="128" t="str">
        <f>IFERROR(SMALL(I$168:I$180,F178),"")</f>
        <v/>
      </c>
      <c r="K178" s="128">
        <f>63</f>
        <v>63</v>
      </c>
      <c r="L178" s="128" t="b">
        <f>IF(J$168=F178,I$9*(K178*H178))</f>
        <v>0</v>
      </c>
      <c r="M178" s="128" t="b">
        <f>IF(J$168=F178,L$9*(K178*H178))</f>
        <v>0</v>
      </c>
      <c r="N178" s="128">
        <f>L178-M178</f>
        <v>0</v>
      </c>
      <c r="O178" s="126"/>
      <c r="P178" s="126"/>
      <c r="Q178" s="126"/>
      <c r="R178" s="126"/>
      <c r="S178" s="126"/>
      <c r="T178" s="126"/>
      <c r="V178" s="126">
        <v>6</v>
      </c>
      <c r="W178" s="128" t="s">
        <v>68</v>
      </c>
      <c r="X178" s="128">
        <v>1E-3</v>
      </c>
      <c r="Y178" s="128" t="str">
        <f t="shared" si="75"/>
        <v/>
      </c>
      <c r="Z178" s="128" t="str">
        <f>IFERROR(SMALL(Y$168:Y$180,V178),"")</f>
        <v/>
      </c>
      <c r="AA178" s="128">
        <f>63</f>
        <v>63</v>
      </c>
      <c r="AB178" s="128" t="b">
        <f>IF(Z$168=V178,Y$9*(AA178*X178))</f>
        <v>0</v>
      </c>
      <c r="AC178" s="128" t="b">
        <f>IF(Z$168=V178,AB$9*(AA178*X178))</f>
        <v>0</v>
      </c>
      <c r="AD178" s="128">
        <f>AB178-AC178</f>
        <v>0</v>
      </c>
      <c r="AE178" s="126"/>
      <c r="AF178" s="126"/>
      <c r="AG178" s="126"/>
      <c r="AH178" s="126"/>
      <c r="AI178" s="126"/>
      <c r="AJ178" s="126">
        <v>6</v>
      </c>
      <c r="AK178" s="128" t="s">
        <v>68</v>
      </c>
      <c r="AL178" s="128">
        <v>1E-3</v>
      </c>
      <c r="AM178" s="128" t="str">
        <f t="shared" si="73"/>
        <v/>
      </c>
      <c r="AN178" s="128" t="str">
        <f>IFERROR(SMALL(AM$168:AM$180,AJ178),"")</f>
        <v/>
      </c>
      <c r="AO178" s="128">
        <f>63</f>
        <v>63</v>
      </c>
      <c r="AP178" s="128" t="b">
        <f>IF(AN$168=AJ178,AM$9*(AO178*AL178))</f>
        <v>0</v>
      </c>
      <c r="AQ178" s="128" t="b">
        <f>IF(AN$168=AJ178,AP$9*(AO178*AL178))</f>
        <v>0</v>
      </c>
      <c r="AR178" s="128">
        <f>AP178-AQ178</f>
        <v>0</v>
      </c>
      <c r="AS178" s="126"/>
      <c r="AT178" s="126"/>
      <c r="AU178" s="126"/>
      <c r="AV178" s="126"/>
      <c r="AX178" s="126">
        <v>6</v>
      </c>
      <c r="AY178" s="128" t="s">
        <v>68</v>
      </c>
      <c r="AZ178" s="128">
        <v>1E-3</v>
      </c>
      <c r="BA178" s="128" t="str">
        <f t="shared" si="76"/>
        <v/>
      </c>
      <c r="BB178" s="128" t="str">
        <f>IFERROR(SMALL(BA$168:BA$180,AX178),"")</f>
        <v/>
      </c>
      <c r="BC178" s="128">
        <f>63</f>
        <v>63</v>
      </c>
      <c r="BD178" s="128" t="b">
        <f>IF(BB$168=AX178,BA$9*(BC178*AZ178))</f>
        <v>0</v>
      </c>
      <c r="BE178" s="128" t="b">
        <f>IF(BB$168=AX178,BD$9*(BC178*AZ178))</f>
        <v>0</v>
      </c>
      <c r="BF178" s="128">
        <f>BD178-BE178</f>
        <v>0</v>
      </c>
      <c r="BG178" s="126"/>
      <c r="BH178" s="126"/>
      <c r="BI178" s="126"/>
      <c r="BL178" s="126"/>
      <c r="BM178" s="126"/>
    </row>
    <row r="179" spans="6:65" s="123" customFormat="1" hidden="1">
      <c r="F179" s="126"/>
      <c r="G179" s="126"/>
      <c r="H179" s="126"/>
      <c r="I179" s="126"/>
      <c r="J179" s="126"/>
      <c r="K179" s="126"/>
      <c r="L179" s="126"/>
      <c r="M179" s="126"/>
      <c r="N179" s="126"/>
      <c r="O179" s="126"/>
      <c r="P179" s="126"/>
      <c r="Q179" s="126"/>
      <c r="R179" s="126"/>
      <c r="S179" s="126"/>
      <c r="T179" s="126"/>
      <c r="V179" s="126"/>
      <c r="W179" s="126"/>
      <c r="X179" s="126"/>
      <c r="Y179" s="126"/>
      <c r="Z179" s="126"/>
      <c r="AA179" s="126"/>
      <c r="AB179" s="126"/>
      <c r="AC179" s="126"/>
      <c r="AD179" s="126"/>
      <c r="AE179" s="126"/>
      <c r="AF179" s="126"/>
      <c r="AG179" s="126"/>
      <c r="AH179" s="126"/>
      <c r="AI179" s="126"/>
      <c r="AJ179" s="126"/>
      <c r="AK179" s="126"/>
      <c r="AL179" s="126"/>
      <c r="AM179" s="126"/>
      <c r="AN179" s="126"/>
      <c r="AO179" s="126"/>
      <c r="AP179" s="126"/>
      <c r="AQ179" s="126"/>
      <c r="AR179" s="126"/>
      <c r="AS179" s="126"/>
      <c r="AT179" s="126"/>
      <c r="AU179" s="126"/>
      <c r="AV179" s="126"/>
      <c r="AX179" s="126"/>
      <c r="AY179" s="126"/>
      <c r="AZ179" s="126"/>
      <c r="BA179" s="126"/>
      <c r="BB179" s="126"/>
      <c r="BC179" s="126"/>
      <c r="BD179" s="126"/>
      <c r="BE179" s="126"/>
      <c r="BF179" s="126"/>
      <c r="BG179" s="126"/>
      <c r="BH179" s="126"/>
      <c r="BI179" s="126"/>
      <c r="BL179" s="126"/>
      <c r="BM179" s="126"/>
    </row>
    <row r="180" spans="6:65" s="141" customFormat="1" hidden="1">
      <c r="F180" s="140"/>
      <c r="G180" s="140"/>
      <c r="H180" s="140"/>
      <c r="I180" s="140"/>
      <c r="J180" s="140"/>
      <c r="K180" s="140"/>
      <c r="L180" s="140"/>
      <c r="M180" s="140"/>
      <c r="N180" s="140"/>
      <c r="O180" s="140"/>
      <c r="P180" s="140"/>
      <c r="Q180" s="140"/>
      <c r="R180" s="140"/>
      <c r="S180" s="140"/>
      <c r="T180" s="140"/>
      <c r="V180" s="140"/>
      <c r="W180" s="140"/>
      <c r="X180" s="140"/>
      <c r="Y180" s="140"/>
      <c r="Z180" s="140"/>
      <c r="AA180" s="140"/>
      <c r="AB180" s="140"/>
      <c r="AC180" s="140"/>
      <c r="AD180" s="140"/>
      <c r="AE180" s="140"/>
      <c r="AF180" s="140"/>
      <c r="AG180" s="140"/>
      <c r="AH180" s="140"/>
      <c r="AI180" s="140"/>
      <c r="AJ180" s="140"/>
      <c r="AK180" s="140"/>
      <c r="AL180" s="140"/>
      <c r="AM180" s="140"/>
      <c r="AN180" s="140"/>
      <c r="AO180" s="140"/>
      <c r="AP180" s="140"/>
      <c r="AQ180" s="140"/>
      <c r="AR180" s="140"/>
      <c r="AS180" s="140"/>
      <c r="AT180" s="140"/>
      <c r="AU180" s="140"/>
      <c r="AV180" s="140"/>
      <c r="AX180" s="140"/>
      <c r="AY180" s="140"/>
      <c r="AZ180" s="140"/>
      <c r="BA180" s="140"/>
      <c r="BB180" s="140"/>
      <c r="BC180" s="140"/>
      <c r="BD180" s="140"/>
      <c r="BE180" s="140"/>
      <c r="BF180" s="140"/>
      <c r="BG180" s="140"/>
      <c r="BH180" s="140"/>
      <c r="BI180" s="140"/>
      <c r="BL180" s="140"/>
      <c r="BM180" s="140"/>
    </row>
    <row r="181" spans="6:65" hidden="1">
      <c r="F181" s="2"/>
      <c r="G181" s="2"/>
      <c r="H181" s="2"/>
      <c r="I181" s="2"/>
      <c r="J181" s="2"/>
      <c r="K181" s="2"/>
      <c r="L181" s="2"/>
      <c r="M181" s="2"/>
      <c r="N181" s="2"/>
      <c r="O181" s="2"/>
      <c r="P181" s="2"/>
      <c r="Q181" s="2"/>
      <c r="R181" s="2"/>
      <c r="S181" s="2"/>
      <c r="T181" s="2"/>
      <c r="V181" s="2"/>
      <c r="W181" s="2"/>
      <c r="X181" s="2"/>
      <c r="Y181" s="2"/>
      <c r="Z181" s="2"/>
      <c r="AA181" s="2"/>
      <c r="AB181" s="2"/>
      <c r="AC181" s="2"/>
      <c r="AD181" s="2"/>
      <c r="AE181" s="2"/>
      <c r="AF181" s="2"/>
      <c r="AG181" s="2"/>
      <c r="AH181" s="2"/>
      <c r="AI181" s="2"/>
      <c r="AJ181" s="2"/>
      <c r="AK181" s="2"/>
      <c r="AL181" s="2"/>
      <c r="AM181" s="2"/>
      <c r="AN181" s="2"/>
      <c r="AO181" s="2"/>
      <c r="AP181" s="2"/>
      <c r="AQ181" s="2"/>
      <c r="AR181" s="2"/>
      <c r="AS181" s="2"/>
      <c r="AT181" s="2"/>
      <c r="AU181" s="2"/>
      <c r="AV181" s="2"/>
      <c r="AX181" s="2"/>
      <c r="AY181" s="2"/>
      <c r="AZ181" s="2"/>
      <c r="BA181" s="2"/>
      <c r="BB181" s="2"/>
      <c r="BC181" s="2"/>
      <c r="BD181" s="2"/>
      <c r="BE181" s="2"/>
      <c r="BF181" s="2"/>
      <c r="BG181" s="2"/>
      <c r="BH181" s="2"/>
      <c r="BI181" s="2"/>
      <c r="BL181" s="2"/>
      <c r="BM181" s="2"/>
    </row>
    <row r="182" spans="6:65" hidden="1">
      <c r="F182" s="2"/>
      <c r="G182" s="2"/>
      <c r="H182" s="2"/>
      <c r="I182" s="2"/>
      <c r="J182" s="2"/>
      <c r="K182" s="2"/>
      <c r="L182" s="2"/>
      <c r="M182" s="2"/>
      <c r="N182" s="2"/>
      <c r="O182" s="2"/>
      <c r="P182" s="2"/>
      <c r="Q182" s="2"/>
      <c r="R182" s="2"/>
      <c r="S182" s="2"/>
      <c r="T182" s="2"/>
      <c r="V182" s="2"/>
      <c r="W182" s="2"/>
      <c r="X182" s="2"/>
      <c r="Y182" s="2"/>
      <c r="Z182" s="2"/>
      <c r="AA182" s="2"/>
      <c r="AB182" s="2"/>
      <c r="AC182" s="2"/>
      <c r="AD182" s="2"/>
      <c r="AE182" s="2"/>
      <c r="AF182" s="2"/>
      <c r="AG182" s="2"/>
      <c r="AH182" s="2"/>
      <c r="AI182" s="2"/>
      <c r="AJ182" s="2"/>
      <c r="AK182" s="2"/>
      <c r="AL182" s="2"/>
      <c r="AM182" s="2"/>
      <c r="AN182" s="2"/>
      <c r="AO182" s="2"/>
      <c r="AP182" s="2"/>
      <c r="AQ182" s="2"/>
      <c r="AR182" s="2"/>
      <c r="AS182" s="2"/>
      <c r="AT182" s="2"/>
      <c r="AU182" s="2"/>
      <c r="AV182" s="2"/>
      <c r="AX182" s="2"/>
      <c r="AY182" s="2"/>
      <c r="AZ182" s="2"/>
      <c r="BA182" s="2"/>
      <c r="BB182" s="2"/>
      <c r="BC182" s="2"/>
      <c r="BD182" s="2"/>
      <c r="BE182" s="2"/>
      <c r="BF182" s="2"/>
      <c r="BG182" s="2"/>
      <c r="BH182" s="2"/>
      <c r="BI182" s="2"/>
      <c r="BL182" s="2"/>
      <c r="BM182" s="2"/>
    </row>
    <row r="183" spans="6:65" hidden="1">
      <c r="F183" s="2"/>
      <c r="G183" s="16" t="s">
        <v>41</v>
      </c>
      <c r="H183" s="16"/>
      <c r="I183" s="16"/>
      <c r="J183" s="2"/>
      <c r="K183" s="2"/>
      <c r="L183" s="2"/>
      <c r="M183" s="2"/>
      <c r="N183" s="2"/>
      <c r="O183" s="2"/>
      <c r="P183" s="2"/>
      <c r="Q183" s="2"/>
      <c r="R183" s="2"/>
      <c r="S183" s="2"/>
      <c r="T183" s="2"/>
      <c r="V183" s="2"/>
      <c r="W183" s="2" t="s">
        <v>41</v>
      </c>
      <c r="X183" s="2"/>
      <c r="Y183" s="2"/>
      <c r="Z183" s="2"/>
      <c r="AA183" s="2"/>
      <c r="AB183" s="2"/>
      <c r="AC183" s="2"/>
      <c r="AD183" s="2"/>
      <c r="AE183" s="2"/>
      <c r="AF183" s="2"/>
      <c r="AG183" s="2"/>
      <c r="AH183" s="2"/>
      <c r="AI183" s="2"/>
      <c r="AJ183" s="2"/>
      <c r="AK183" s="2" t="s">
        <v>41</v>
      </c>
      <c r="AL183" s="2"/>
      <c r="AM183" s="2"/>
      <c r="AN183" s="2"/>
      <c r="AO183" s="2"/>
      <c r="AP183" s="2"/>
      <c r="AQ183" s="2"/>
      <c r="AR183" s="2"/>
      <c r="AS183" s="2"/>
      <c r="AT183" s="2"/>
      <c r="AU183" s="2"/>
      <c r="AV183" s="2"/>
      <c r="AX183" s="2"/>
      <c r="AY183" s="2" t="s">
        <v>41</v>
      </c>
      <c r="AZ183" s="2"/>
      <c r="BA183" s="2"/>
      <c r="BB183" s="2"/>
      <c r="BC183" s="2"/>
      <c r="BD183" s="2"/>
      <c r="BE183" s="2"/>
      <c r="BF183" s="2"/>
      <c r="BG183" s="2"/>
      <c r="BH183" s="2"/>
      <c r="BI183" s="2"/>
      <c r="BL183" s="2"/>
      <c r="BM183" s="2"/>
    </row>
    <row r="184" spans="6:65" hidden="1">
      <c r="F184" s="2"/>
      <c r="G184" s="2"/>
      <c r="H184" s="57" t="s">
        <v>40</v>
      </c>
      <c r="I184" s="57" t="s">
        <v>40</v>
      </c>
      <c r="J184" s="2" t="s">
        <v>150</v>
      </c>
      <c r="K184" s="2"/>
      <c r="L184" s="2"/>
      <c r="M184" s="2"/>
      <c r="N184" s="2"/>
      <c r="O184" s="2"/>
      <c r="P184" s="2"/>
      <c r="Q184" s="2"/>
      <c r="R184" s="2"/>
      <c r="S184" s="2"/>
      <c r="T184" s="2"/>
      <c r="V184" s="2"/>
      <c r="W184" s="2"/>
      <c r="X184" s="2"/>
      <c r="Y184" s="2"/>
      <c r="Z184" s="2"/>
      <c r="AA184" s="2"/>
      <c r="AB184" s="2"/>
      <c r="AC184" s="2"/>
      <c r="AD184" s="2"/>
      <c r="AE184" s="2"/>
      <c r="AF184" s="2"/>
      <c r="AG184" s="2"/>
      <c r="AH184" s="2"/>
      <c r="AI184" s="2"/>
      <c r="AJ184" s="2"/>
      <c r="AK184" s="2"/>
      <c r="AL184" s="2"/>
      <c r="AM184" s="2"/>
      <c r="AN184" s="2"/>
      <c r="AO184" s="2"/>
      <c r="AP184" s="2"/>
      <c r="AQ184" s="2"/>
      <c r="AR184" s="2"/>
      <c r="AS184" s="2"/>
      <c r="AT184" s="2"/>
      <c r="AU184" s="2"/>
      <c r="AV184" s="2"/>
      <c r="AX184" s="2"/>
      <c r="AY184" s="2"/>
      <c r="AZ184" s="2"/>
      <c r="BA184" s="2"/>
      <c r="BB184" s="2"/>
      <c r="BC184" s="2"/>
      <c r="BD184" s="2"/>
      <c r="BE184" s="2"/>
      <c r="BF184" s="2"/>
      <c r="BG184" s="2"/>
      <c r="BH184" s="2"/>
      <c r="BI184" s="2"/>
      <c r="BL184" s="2"/>
      <c r="BM184" s="2"/>
    </row>
    <row r="185" spans="6:65" hidden="1">
      <c r="F185" s="2">
        <v>1</v>
      </c>
      <c r="G185" s="2" t="s">
        <v>110</v>
      </c>
      <c r="H185" s="57" t="str">
        <f t="shared" ref="H185:H194" si="77">IF((J$10=G185),F185,"")</f>
        <v/>
      </c>
      <c r="I185" s="57">
        <f>IFERROR(SMALL(H$185:H$194,F185),"")</f>
        <v>2</v>
      </c>
      <c r="J185" s="2"/>
      <c r="K185" s="2"/>
      <c r="L185" s="2"/>
      <c r="M185" s="2"/>
      <c r="N185" s="2"/>
      <c r="O185" s="2"/>
      <c r="P185" s="2"/>
      <c r="Q185" s="2"/>
      <c r="R185" s="2"/>
      <c r="S185" s="2"/>
      <c r="T185" s="2"/>
      <c r="V185" s="2"/>
      <c r="W185" s="2"/>
      <c r="X185" s="57" t="s">
        <v>40</v>
      </c>
      <c r="Y185" s="57" t="s">
        <v>40</v>
      </c>
      <c r="Z185" s="2" t="s">
        <v>150</v>
      </c>
      <c r="AA185" s="2"/>
      <c r="AB185" s="2"/>
      <c r="AC185" s="2"/>
      <c r="AD185" s="2"/>
      <c r="AE185" s="2"/>
      <c r="AF185" s="2"/>
      <c r="AG185" s="2"/>
      <c r="AH185" s="2"/>
      <c r="AI185" s="2"/>
      <c r="AJ185" s="2"/>
      <c r="AK185" s="2"/>
      <c r="AL185" s="57" t="s">
        <v>40</v>
      </c>
      <c r="AM185" s="57" t="s">
        <v>40</v>
      </c>
      <c r="AN185" s="2" t="s">
        <v>150</v>
      </c>
      <c r="AO185" s="2"/>
      <c r="AP185" s="2"/>
      <c r="AQ185" s="2"/>
      <c r="AR185" s="2"/>
      <c r="AS185" s="2"/>
      <c r="AT185" s="2"/>
      <c r="AU185" s="2"/>
      <c r="AV185" s="2"/>
      <c r="AX185" s="2"/>
      <c r="AY185" s="2"/>
      <c r="AZ185" s="57" t="s">
        <v>40</v>
      </c>
      <c r="BA185" s="57" t="s">
        <v>40</v>
      </c>
      <c r="BB185" s="2" t="s">
        <v>150</v>
      </c>
      <c r="BC185" s="2"/>
      <c r="BD185" s="2"/>
      <c r="BE185" s="2"/>
      <c r="BF185" s="2"/>
      <c r="BG185" s="2"/>
      <c r="BH185" s="2"/>
      <c r="BI185" s="2"/>
      <c r="BL185" s="2"/>
      <c r="BM185" s="2"/>
    </row>
    <row r="186" spans="6:65" hidden="1">
      <c r="F186" s="2">
        <v>2</v>
      </c>
      <c r="G186" s="2" t="s">
        <v>21</v>
      </c>
      <c r="H186" s="57">
        <f>IF((J$10=G186),F186,"")</f>
        <v>2</v>
      </c>
      <c r="I186" s="57"/>
      <c r="J186" s="2"/>
      <c r="K186" s="2"/>
      <c r="L186" s="2"/>
      <c r="M186" s="2"/>
      <c r="N186" s="2"/>
      <c r="O186" s="2"/>
      <c r="P186" s="2"/>
      <c r="Q186" s="2"/>
      <c r="R186" s="2"/>
      <c r="S186" s="2"/>
      <c r="T186" s="2"/>
      <c r="V186" s="2">
        <v>1</v>
      </c>
      <c r="W186" s="2" t="s">
        <v>110</v>
      </c>
      <c r="X186" s="57" t="str">
        <f>IF((K$10=W186),V186,"")</f>
        <v/>
      </c>
      <c r="Y186" s="57">
        <f>IFERROR(SMALL(X$186:X$195,V186),"")</f>
        <v>2</v>
      </c>
      <c r="Z186" s="2"/>
      <c r="AA186" s="2"/>
      <c r="AB186" s="2"/>
      <c r="AC186" s="2"/>
      <c r="AD186" s="2"/>
      <c r="AE186" s="2"/>
      <c r="AF186" s="2"/>
      <c r="AG186" s="2"/>
      <c r="AH186" s="2"/>
      <c r="AI186" s="2"/>
      <c r="AJ186" s="2">
        <v>1</v>
      </c>
      <c r="AK186" s="2" t="s">
        <v>110</v>
      </c>
      <c r="AL186" s="57" t="str">
        <f>IF((L$10=AK186),AJ186,"")</f>
        <v/>
      </c>
      <c r="AM186" s="57">
        <f>IFERROR(SMALL(AL$186:AL$194,AJ186),"")</f>
        <v>2</v>
      </c>
      <c r="AN186" s="2"/>
      <c r="AO186" s="2"/>
      <c r="AP186" s="2"/>
      <c r="AQ186" s="2"/>
      <c r="AR186" s="2"/>
      <c r="AS186" s="2"/>
      <c r="AT186" s="2"/>
      <c r="AU186" s="2"/>
      <c r="AV186" s="2"/>
      <c r="AX186" s="2">
        <v>1</v>
      </c>
      <c r="AY186" s="2" t="s">
        <v>110</v>
      </c>
      <c r="AZ186" s="57" t="str">
        <f>IF((M$10=AY186),AX186,"")</f>
        <v/>
      </c>
      <c r="BA186" s="57">
        <f>IFERROR(SMALL(AZ$186:AZ$194,AX186),"")</f>
        <v>2</v>
      </c>
      <c r="BB186" s="2"/>
      <c r="BC186" s="2"/>
      <c r="BD186" s="2"/>
      <c r="BE186" s="2"/>
      <c r="BF186" s="2"/>
      <c r="BG186" s="2"/>
      <c r="BH186" s="2"/>
      <c r="BI186" s="2"/>
      <c r="BL186" s="2"/>
      <c r="BM186" s="2"/>
    </row>
    <row r="187" spans="6:65" hidden="1">
      <c r="F187" s="2">
        <v>3</v>
      </c>
      <c r="G187" s="2" t="s">
        <v>47</v>
      </c>
      <c r="H187" s="57" t="str">
        <f t="shared" si="77"/>
        <v/>
      </c>
      <c r="I187" s="57"/>
      <c r="J187" s="2"/>
      <c r="K187" s="2"/>
      <c r="L187" s="2"/>
      <c r="M187" s="2"/>
      <c r="N187" s="2"/>
      <c r="O187" s="2"/>
      <c r="P187" s="2"/>
      <c r="Q187" s="2"/>
      <c r="R187" s="2"/>
      <c r="S187" s="2"/>
      <c r="T187" s="2"/>
      <c r="V187" s="2">
        <v>2</v>
      </c>
      <c r="W187" s="2" t="s">
        <v>21</v>
      </c>
      <c r="X187" s="57">
        <f t="shared" ref="X187:X194" si="78">IF((K$10=W187),V187,"")</f>
        <v>2</v>
      </c>
      <c r="Y187" s="57"/>
      <c r="Z187" s="2"/>
      <c r="AA187" s="2"/>
      <c r="AB187" s="2"/>
      <c r="AC187" s="2"/>
      <c r="AD187" s="2"/>
      <c r="AE187" s="2"/>
      <c r="AF187" s="2"/>
      <c r="AG187" s="2"/>
      <c r="AH187" s="2"/>
      <c r="AI187" s="2"/>
      <c r="AJ187" s="2">
        <v>2</v>
      </c>
      <c r="AK187" s="2" t="s">
        <v>21</v>
      </c>
      <c r="AL187" s="57">
        <f t="shared" ref="AL187:AL194" si="79">IF((L$10=AK187),AJ187,"")</f>
        <v>2</v>
      </c>
      <c r="AM187" s="57"/>
      <c r="AN187" s="2"/>
      <c r="AO187" s="2"/>
      <c r="AP187" s="2"/>
      <c r="AQ187" s="2"/>
      <c r="AR187" s="2"/>
      <c r="AS187" s="2"/>
      <c r="AT187" s="2"/>
      <c r="AU187" s="2"/>
      <c r="AV187" s="2"/>
      <c r="AX187" s="2">
        <v>2</v>
      </c>
      <c r="AY187" s="2" t="s">
        <v>21</v>
      </c>
      <c r="AZ187" s="57">
        <f>IF((M$10=AY187),AX187,"")</f>
        <v>2</v>
      </c>
      <c r="BA187" s="57"/>
      <c r="BB187" s="2"/>
      <c r="BC187" s="2"/>
      <c r="BD187" s="2"/>
      <c r="BE187" s="2"/>
      <c r="BF187" s="2"/>
      <c r="BG187" s="2"/>
      <c r="BH187" s="2"/>
      <c r="BI187" s="2"/>
      <c r="BL187" s="2"/>
      <c r="BM187" s="2"/>
    </row>
    <row r="188" spans="6:65" hidden="1">
      <c r="F188" s="2">
        <v>4</v>
      </c>
      <c r="G188" s="2" t="s">
        <v>48</v>
      </c>
      <c r="H188" s="57" t="str">
        <f t="shared" si="77"/>
        <v/>
      </c>
      <c r="I188" s="57"/>
      <c r="J188" s="2"/>
      <c r="K188" s="2"/>
      <c r="L188" s="2"/>
      <c r="M188" s="2"/>
      <c r="N188" s="2"/>
      <c r="O188" s="2"/>
      <c r="P188" s="2"/>
      <c r="Q188" s="2"/>
      <c r="R188" s="2"/>
      <c r="S188" s="2"/>
      <c r="T188" s="2"/>
      <c r="V188" s="2">
        <v>3</v>
      </c>
      <c r="W188" s="2" t="s">
        <v>47</v>
      </c>
      <c r="X188" s="57" t="str">
        <f t="shared" si="78"/>
        <v/>
      </c>
      <c r="Y188" s="57"/>
      <c r="Z188" s="2"/>
      <c r="AA188" s="2"/>
      <c r="AB188" s="2"/>
      <c r="AC188" s="2"/>
      <c r="AD188" s="2"/>
      <c r="AE188" s="2"/>
      <c r="AF188" s="2"/>
      <c r="AG188" s="2"/>
      <c r="AH188" s="2"/>
      <c r="AI188" s="2"/>
      <c r="AJ188" s="2">
        <v>3</v>
      </c>
      <c r="AK188" s="2" t="s">
        <v>47</v>
      </c>
      <c r="AL188" s="57" t="str">
        <f>IF((L$10=AK188),AJ188,"")</f>
        <v/>
      </c>
      <c r="AM188" s="57"/>
      <c r="AN188" s="2"/>
      <c r="AO188" s="2"/>
      <c r="AP188" s="2"/>
      <c r="AQ188" s="2"/>
      <c r="AR188" s="2"/>
      <c r="AS188" s="2"/>
      <c r="AT188" s="2"/>
      <c r="AU188" s="2"/>
      <c r="AV188" s="2"/>
      <c r="AX188" s="2">
        <v>3</v>
      </c>
      <c r="AY188" s="2" t="s">
        <v>47</v>
      </c>
      <c r="AZ188" s="57" t="str">
        <f t="shared" ref="AZ188:AZ194" si="80">IF((M$10=AY188),AX188,"")</f>
        <v/>
      </c>
      <c r="BA188" s="57"/>
      <c r="BB188" s="2"/>
      <c r="BC188" s="2"/>
      <c r="BD188" s="2"/>
      <c r="BE188" s="2"/>
      <c r="BF188" s="2"/>
      <c r="BG188" s="2"/>
      <c r="BH188" s="2"/>
      <c r="BI188" s="2"/>
      <c r="BL188" s="2"/>
      <c r="BM188" s="2"/>
    </row>
    <row r="189" spans="6:65" hidden="1">
      <c r="F189" s="2">
        <v>5</v>
      </c>
      <c r="G189" s="2" t="s">
        <v>49</v>
      </c>
      <c r="H189" s="57" t="str">
        <f t="shared" si="77"/>
        <v/>
      </c>
      <c r="I189" s="57"/>
      <c r="J189" s="2"/>
      <c r="K189" s="2"/>
      <c r="L189" s="2"/>
      <c r="M189" s="2"/>
      <c r="N189" s="2"/>
      <c r="O189" s="2"/>
      <c r="P189" s="2"/>
      <c r="Q189" s="2"/>
      <c r="R189" s="2"/>
      <c r="S189" s="2"/>
      <c r="T189" s="2"/>
      <c r="V189" s="2">
        <v>4</v>
      </c>
      <c r="W189" s="2" t="s">
        <v>48</v>
      </c>
      <c r="X189" s="57" t="str">
        <f t="shared" si="78"/>
        <v/>
      </c>
      <c r="Y189" s="57"/>
      <c r="Z189" s="2"/>
      <c r="AA189" s="2"/>
      <c r="AB189" s="2"/>
      <c r="AC189" s="2"/>
      <c r="AD189" s="2"/>
      <c r="AE189" s="2"/>
      <c r="AF189" s="2"/>
      <c r="AG189" s="2"/>
      <c r="AH189" s="2"/>
      <c r="AI189" s="2"/>
      <c r="AJ189" s="2">
        <v>4</v>
      </c>
      <c r="AK189" s="2" t="s">
        <v>48</v>
      </c>
      <c r="AL189" s="57" t="str">
        <f t="shared" si="79"/>
        <v/>
      </c>
      <c r="AM189" s="57"/>
      <c r="AN189" s="2"/>
      <c r="AO189" s="2"/>
      <c r="AP189" s="2"/>
      <c r="AQ189" s="2"/>
      <c r="AR189" s="2"/>
      <c r="AS189" s="2"/>
      <c r="AT189" s="2"/>
      <c r="AU189" s="2"/>
      <c r="AV189" s="2"/>
      <c r="AX189" s="2">
        <v>4</v>
      </c>
      <c r="AY189" s="2" t="s">
        <v>48</v>
      </c>
      <c r="AZ189" s="57" t="str">
        <f t="shared" si="80"/>
        <v/>
      </c>
      <c r="BA189" s="57"/>
      <c r="BB189" s="2"/>
      <c r="BC189" s="2"/>
      <c r="BD189" s="2"/>
      <c r="BE189" s="2"/>
      <c r="BF189" s="2"/>
      <c r="BG189" s="2"/>
      <c r="BH189" s="2"/>
      <c r="BI189" s="2"/>
      <c r="BL189" s="2"/>
      <c r="BM189" s="2"/>
    </row>
    <row r="190" spans="6:65" hidden="1">
      <c r="F190" s="2">
        <v>6</v>
      </c>
      <c r="G190" s="2" t="s">
        <v>50</v>
      </c>
      <c r="H190" s="57" t="str">
        <f t="shared" si="77"/>
        <v/>
      </c>
      <c r="I190" s="57"/>
      <c r="J190" s="2"/>
      <c r="K190" s="2"/>
      <c r="L190" s="2"/>
      <c r="M190" s="2"/>
      <c r="N190" s="2"/>
      <c r="O190" s="2"/>
      <c r="P190" s="2"/>
      <c r="Q190" s="2"/>
      <c r="R190" s="2"/>
      <c r="S190" s="2"/>
      <c r="T190" s="2"/>
      <c r="V190" s="2">
        <v>5</v>
      </c>
      <c r="W190" s="2" t="s">
        <v>49</v>
      </c>
      <c r="X190" s="57" t="str">
        <f t="shared" si="78"/>
        <v/>
      </c>
      <c r="Y190" s="57"/>
      <c r="Z190" s="2"/>
      <c r="AA190" s="2"/>
      <c r="AB190" s="2"/>
      <c r="AC190" s="2"/>
      <c r="AD190" s="2"/>
      <c r="AE190" s="2"/>
      <c r="AF190" s="2"/>
      <c r="AG190" s="2"/>
      <c r="AH190" s="2"/>
      <c r="AI190" s="2"/>
      <c r="AJ190" s="2">
        <v>5</v>
      </c>
      <c r="AK190" s="2" t="s">
        <v>49</v>
      </c>
      <c r="AL190" s="57" t="str">
        <f t="shared" si="79"/>
        <v/>
      </c>
      <c r="AM190" s="57"/>
      <c r="AN190" s="2"/>
      <c r="AO190" s="2"/>
      <c r="AP190" s="2"/>
      <c r="AQ190" s="2"/>
      <c r="AR190" s="2"/>
      <c r="AS190" s="2"/>
      <c r="AT190" s="2"/>
      <c r="AU190" s="2"/>
      <c r="AV190" s="2"/>
      <c r="AX190" s="2">
        <v>5</v>
      </c>
      <c r="AY190" s="2" t="s">
        <v>49</v>
      </c>
      <c r="AZ190" s="57" t="str">
        <f t="shared" si="80"/>
        <v/>
      </c>
      <c r="BA190" s="57"/>
      <c r="BB190" s="2"/>
      <c r="BC190" s="2"/>
      <c r="BD190" s="2"/>
      <c r="BE190" s="2"/>
      <c r="BF190" s="2"/>
      <c r="BG190" s="2"/>
      <c r="BH190" s="2"/>
      <c r="BI190" s="2"/>
      <c r="BL190" s="2"/>
      <c r="BM190" s="2"/>
    </row>
    <row r="191" spans="6:65" hidden="1">
      <c r="F191" s="2">
        <v>7</v>
      </c>
      <c r="G191" s="2" t="s">
        <v>51</v>
      </c>
      <c r="H191" s="57" t="str">
        <f t="shared" si="77"/>
        <v/>
      </c>
      <c r="I191" s="57"/>
      <c r="J191" s="2"/>
      <c r="K191" s="2"/>
      <c r="L191" s="2"/>
      <c r="M191" s="2"/>
      <c r="N191" s="2"/>
      <c r="O191" s="2"/>
      <c r="P191" s="2"/>
      <c r="Q191" s="2"/>
      <c r="R191" s="2"/>
      <c r="S191" s="2"/>
      <c r="T191" s="2"/>
      <c r="V191" s="2">
        <v>6</v>
      </c>
      <c r="W191" s="2" t="s">
        <v>50</v>
      </c>
      <c r="X191" s="57" t="str">
        <f t="shared" si="78"/>
        <v/>
      </c>
      <c r="Y191" s="57"/>
      <c r="Z191" s="2"/>
      <c r="AA191" s="2"/>
      <c r="AB191" s="2"/>
      <c r="AC191" s="2"/>
      <c r="AD191" s="2"/>
      <c r="AE191" s="2"/>
      <c r="AF191" s="2"/>
      <c r="AG191" s="2"/>
      <c r="AH191" s="2"/>
      <c r="AI191" s="2"/>
      <c r="AJ191" s="2">
        <v>6</v>
      </c>
      <c r="AK191" s="2" t="s">
        <v>50</v>
      </c>
      <c r="AL191" s="57" t="str">
        <f t="shared" si="79"/>
        <v/>
      </c>
      <c r="AM191" s="57"/>
      <c r="AN191" s="2"/>
      <c r="AO191" s="2"/>
      <c r="AP191" s="2"/>
      <c r="AQ191" s="2"/>
      <c r="AR191" s="2"/>
      <c r="AS191" s="2"/>
      <c r="AT191" s="2"/>
      <c r="AU191" s="2"/>
      <c r="AV191" s="2"/>
      <c r="AX191" s="2">
        <v>6</v>
      </c>
      <c r="AY191" s="2" t="s">
        <v>50</v>
      </c>
      <c r="AZ191" s="57" t="str">
        <f t="shared" si="80"/>
        <v/>
      </c>
      <c r="BA191" s="57"/>
      <c r="BB191" s="2"/>
      <c r="BC191" s="2"/>
      <c r="BD191" s="2"/>
      <c r="BE191" s="2"/>
      <c r="BF191" s="2"/>
      <c r="BG191" s="2"/>
      <c r="BH191" s="2"/>
      <c r="BI191" s="2"/>
      <c r="BL191" s="2"/>
      <c r="BM191" s="2"/>
    </row>
    <row r="192" spans="6:65" hidden="1">
      <c r="F192" s="2">
        <v>8</v>
      </c>
      <c r="G192" s="2" t="s">
        <v>53</v>
      </c>
      <c r="H192" s="57" t="str">
        <f t="shared" si="77"/>
        <v/>
      </c>
      <c r="I192" s="57"/>
      <c r="J192" s="2"/>
      <c r="K192" s="2"/>
      <c r="L192" s="2"/>
      <c r="M192" s="2"/>
      <c r="N192" s="2"/>
      <c r="O192" s="2"/>
      <c r="P192" s="2"/>
      <c r="Q192" s="2"/>
      <c r="R192" s="2"/>
      <c r="S192" s="2"/>
      <c r="T192" s="2"/>
      <c r="V192" s="2">
        <v>7</v>
      </c>
      <c r="W192" s="2" t="s">
        <v>51</v>
      </c>
      <c r="X192" s="57" t="str">
        <f t="shared" si="78"/>
        <v/>
      </c>
      <c r="Y192" s="57"/>
      <c r="Z192" s="2"/>
      <c r="AA192" s="2"/>
      <c r="AB192" s="2"/>
      <c r="AC192" s="2"/>
      <c r="AD192" s="2"/>
      <c r="AE192" s="2"/>
      <c r="AF192" s="2"/>
      <c r="AG192" s="2"/>
      <c r="AH192" s="2"/>
      <c r="AI192" s="2"/>
      <c r="AJ192" s="2">
        <v>7</v>
      </c>
      <c r="AK192" s="2" t="s">
        <v>51</v>
      </c>
      <c r="AL192" s="57" t="str">
        <f t="shared" si="79"/>
        <v/>
      </c>
      <c r="AM192" s="57"/>
      <c r="AN192" s="2"/>
      <c r="AO192" s="2"/>
      <c r="AP192" s="2"/>
      <c r="AQ192" s="2"/>
      <c r="AR192" s="2"/>
      <c r="AS192" s="2"/>
      <c r="AT192" s="2"/>
      <c r="AU192" s="2"/>
      <c r="AV192" s="2"/>
      <c r="AX192" s="2">
        <v>7</v>
      </c>
      <c r="AY192" s="2" t="s">
        <v>51</v>
      </c>
      <c r="AZ192" s="57" t="str">
        <f t="shared" si="80"/>
        <v/>
      </c>
      <c r="BA192" s="57"/>
      <c r="BB192" s="2"/>
      <c r="BC192" s="2"/>
      <c r="BD192" s="2"/>
      <c r="BE192" s="2"/>
      <c r="BF192" s="2"/>
      <c r="BG192" s="2"/>
      <c r="BH192" s="2"/>
      <c r="BI192" s="2"/>
      <c r="BL192" s="2"/>
      <c r="BM192" s="2"/>
    </row>
    <row r="193" spans="6:65" hidden="1">
      <c r="F193" s="2">
        <v>9</v>
      </c>
      <c r="G193" s="2" t="s">
        <v>54</v>
      </c>
      <c r="H193" s="57" t="str">
        <f t="shared" si="77"/>
        <v/>
      </c>
      <c r="I193" s="57"/>
      <c r="J193" s="2"/>
      <c r="K193" s="2"/>
      <c r="L193" s="2"/>
      <c r="M193" s="2"/>
      <c r="N193" s="2"/>
      <c r="O193" s="2"/>
      <c r="P193" s="2"/>
      <c r="Q193" s="2"/>
      <c r="R193" s="2"/>
      <c r="S193" s="2"/>
      <c r="T193" s="2"/>
      <c r="V193" s="2">
        <v>8</v>
      </c>
      <c r="W193" s="2" t="s">
        <v>53</v>
      </c>
      <c r="X193" s="57" t="str">
        <f t="shared" si="78"/>
        <v/>
      </c>
      <c r="Y193" s="57"/>
      <c r="Z193" s="2"/>
      <c r="AA193" s="2"/>
      <c r="AB193" s="2"/>
      <c r="AC193" s="2"/>
      <c r="AD193" s="2"/>
      <c r="AE193" s="2"/>
      <c r="AF193" s="2"/>
      <c r="AG193" s="2"/>
      <c r="AH193" s="2"/>
      <c r="AI193" s="2"/>
      <c r="AJ193" s="2">
        <v>8</v>
      </c>
      <c r="AK193" s="2" t="s">
        <v>53</v>
      </c>
      <c r="AL193" s="57" t="str">
        <f t="shared" si="79"/>
        <v/>
      </c>
      <c r="AM193" s="57"/>
      <c r="AN193" s="2"/>
      <c r="AO193" s="2"/>
      <c r="AP193" s="2"/>
      <c r="AQ193" s="2"/>
      <c r="AR193" s="2"/>
      <c r="AS193" s="2"/>
      <c r="AT193" s="2"/>
      <c r="AU193" s="2"/>
      <c r="AV193" s="2"/>
      <c r="AX193" s="2">
        <v>8</v>
      </c>
      <c r="AY193" s="2" t="s">
        <v>53</v>
      </c>
      <c r="AZ193" s="57" t="str">
        <f t="shared" si="80"/>
        <v/>
      </c>
      <c r="BA193" s="57"/>
      <c r="BB193" s="2"/>
      <c r="BC193" s="2"/>
      <c r="BD193" s="2"/>
      <c r="BE193" s="2"/>
      <c r="BF193" s="2"/>
      <c r="BG193" s="2"/>
      <c r="BH193" s="2"/>
      <c r="BI193" s="2"/>
      <c r="BL193" s="2"/>
      <c r="BM193" s="2"/>
    </row>
    <row r="194" spans="6:65" hidden="1">
      <c r="F194" s="2">
        <v>10</v>
      </c>
      <c r="G194" s="17" t="s">
        <v>13</v>
      </c>
      <c r="H194" s="57" t="str">
        <f t="shared" si="77"/>
        <v/>
      </c>
      <c r="I194" s="2"/>
      <c r="J194" s="2"/>
      <c r="K194" s="2"/>
      <c r="L194" s="2"/>
      <c r="M194" s="2"/>
      <c r="N194" s="2"/>
      <c r="O194" s="2"/>
      <c r="P194" s="2"/>
      <c r="Q194" s="2"/>
      <c r="R194" s="2"/>
      <c r="S194" s="2"/>
      <c r="T194" s="2"/>
      <c r="V194" s="2">
        <v>9</v>
      </c>
      <c r="W194" s="2" t="s">
        <v>54</v>
      </c>
      <c r="X194" s="57" t="str">
        <f t="shared" si="78"/>
        <v/>
      </c>
      <c r="Y194" s="57"/>
      <c r="Z194" s="2"/>
      <c r="AA194" s="2"/>
      <c r="AB194" s="2"/>
      <c r="AC194" s="2"/>
      <c r="AD194" s="2"/>
      <c r="AE194" s="2"/>
      <c r="AF194" s="2"/>
      <c r="AG194" s="2"/>
      <c r="AH194" s="2"/>
      <c r="AI194" s="2"/>
      <c r="AJ194" s="2">
        <v>9</v>
      </c>
      <c r="AK194" s="2" t="s">
        <v>54</v>
      </c>
      <c r="AL194" s="57" t="str">
        <f t="shared" si="79"/>
        <v/>
      </c>
      <c r="AM194" s="57"/>
      <c r="AN194" s="2"/>
      <c r="AO194" s="2"/>
      <c r="AP194" s="2"/>
      <c r="AQ194" s="2"/>
      <c r="AR194" s="2"/>
      <c r="AS194" s="2"/>
      <c r="AT194" s="2"/>
      <c r="AU194" s="2"/>
      <c r="AV194" s="2"/>
      <c r="AX194" s="2">
        <v>9</v>
      </c>
      <c r="AY194" s="2" t="s">
        <v>54</v>
      </c>
      <c r="AZ194" s="57" t="str">
        <f t="shared" si="80"/>
        <v/>
      </c>
      <c r="BA194" s="57"/>
      <c r="BB194" s="2"/>
      <c r="BC194" s="2"/>
      <c r="BD194" s="2"/>
      <c r="BE194" s="2"/>
      <c r="BF194" s="2"/>
      <c r="BG194" s="2"/>
      <c r="BH194" s="2"/>
      <c r="BI194" s="2"/>
      <c r="BL194" s="2"/>
      <c r="BM194" s="2"/>
    </row>
    <row r="195" spans="6:65" hidden="1">
      <c r="F195" s="2"/>
      <c r="G195" s="2"/>
      <c r="H195" s="2"/>
      <c r="I195" s="2"/>
      <c r="J195" s="2"/>
      <c r="K195" s="2"/>
      <c r="L195" s="2"/>
      <c r="M195" s="2"/>
      <c r="N195" s="2"/>
      <c r="O195" s="2"/>
      <c r="P195" s="2"/>
      <c r="Q195" s="2"/>
      <c r="R195" s="2"/>
      <c r="S195" s="2"/>
      <c r="T195" s="2"/>
      <c r="V195" s="2">
        <v>10</v>
      </c>
      <c r="W195" s="17" t="s">
        <v>13</v>
      </c>
      <c r="X195" s="57" t="str">
        <f>IF((K$10=W195),V195,"")</f>
        <v/>
      </c>
      <c r="Y195" s="2"/>
      <c r="Z195" s="2"/>
      <c r="AA195" s="2"/>
      <c r="AB195" s="2"/>
      <c r="AC195" s="2"/>
      <c r="AD195" s="2"/>
      <c r="AE195" s="2"/>
      <c r="AF195" s="2"/>
      <c r="AG195" s="2"/>
      <c r="AH195" s="2"/>
      <c r="AI195" s="2"/>
      <c r="AJ195" s="2"/>
      <c r="AK195" s="2"/>
      <c r="AL195" s="2"/>
      <c r="AM195" s="2"/>
      <c r="AN195" s="2"/>
      <c r="AO195" s="2"/>
      <c r="AP195" s="2"/>
      <c r="AQ195" s="2"/>
      <c r="AR195" s="2"/>
      <c r="AS195" s="2"/>
      <c r="AT195" s="2"/>
      <c r="AU195" s="2"/>
      <c r="AV195" s="2"/>
      <c r="AX195" s="2"/>
      <c r="AY195" s="2"/>
      <c r="AZ195" s="2"/>
      <c r="BA195" s="2"/>
      <c r="BB195" s="2"/>
      <c r="BC195" s="2"/>
      <c r="BD195" s="2"/>
      <c r="BE195" s="2"/>
      <c r="BF195" s="2"/>
      <c r="BG195" s="2"/>
      <c r="BH195" s="2"/>
      <c r="BI195" s="2"/>
      <c r="BL195" s="2"/>
      <c r="BM195" s="2"/>
    </row>
    <row r="196" spans="6:65" s="123" customFormat="1" hidden="1">
      <c r="F196" s="126"/>
      <c r="G196" s="126"/>
      <c r="H196" s="132" t="s">
        <v>40</v>
      </c>
      <c r="I196" s="132" t="s">
        <v>40</v>
      </c>
      <c r="J196" s="126" t="s">
        <v>150</v>
      </c>
      <c r="K196" s="126"/>
      <c r="L196" s="126"/>
      <c r="M196" s="126"/>
      <c r="N196" s="126"/>
      <c r="O196" s="126"/>
      <c r="P196" s="126"/>
      <c r="Q196" s="126"/>
      <c r="R196" s="126"/>
      <c r="S196" s="126"/>
      <c r="T196" s="126"/>
      <c r="V196" s="126"/>
      <c r="W196" s="126"/>
      <c r="X196" s="132" t="s">
        <v>40</v>
      </c>
      <c r="Y196" s="132" t="s">
        <v>40</v>
      </c>
      <c r="Z196" s="126" t="s">
        <v>150</v>
      </c>
      <c r="AA196" s="126"/>
      <c r="AB196" s="126"/>
      <c r="AC196" s="126"/>
      <c r="AD196" s="126"/>
      <c r="AE196" s="126"/>
      <c r="AF196" s="126"/>
      <c r="AG196" s="126"/>
      <c r="AH196" s="126"/>
      <c r="AI196" s="126"/>
      <c r="AJ196" s="126"/>
      <c r="AK196" s="126"/>
      <c r="AL196" s="132" t="s">
        <v>40</v>
      </c>
      <c r="AM196" s="132" t="s">
        <v>40</v>
      </c>
      <c r="AN196" s="126" t="s">
        <v>150</v>
      </c>
      <c r="AO196" s="126"/>
      <c r="AP196" s="126"/>
      <c r="AQ196" s="126"/>
      <c r="AR196" s="126"/>
      <c r="AS196" s="126"/>
      <c r="AT196" s="126"/>
      <c r="AU196" s="126"/>
      <c r="AV196" s="126"/>
      <c r="AX196" s="126"/>
      <c r="AY196" s="126"/>
      <c r="AZ196" s="132" t="s">
        <v>40</v>
      </c>
      <c r="BA196" s="132" t="s">
        <v>40</v>
      </c>
      <c r="BB196" s="126" t="s">
        <v>150</v>
      </c>
      <c r="BC196" s="126"/>
      <c r="BD196" s="126"/>
      <c r="BE196" s="126"/>
      <c r="BF196" s="126"/>
      <c r="BG196" s="126"/>
      <c r="BH196" s="126"/>
      <c r="BI196" s="126"/>
      <c r="BL196" s="126"/>
      <c r="BM196" s="126"/>
    </row>
    <row r="197" spans="6:65" s="123" customFormat="1" hidden="1">
      <c r="F197" s="126">
        <v>1</v>
      </c>
      <c r="G197" s="126" t="s">
        <v>110</v>
      </c>
      <c r="H197" s="132">
        <f>IF((J$12=G197),F197,"")</f>
        <v>1</v>
      </c>
      <c r="I197" s="132">
        <f>IFERROR(SMALL(H$197:H$206,F197),"")</f>
        <v>1</v>
      </c>
      <c r="J197" s="126"/>
      <c r="K197" s="126"/>
      <c r="L197" s="126"/>
      <c r="M197" s="126"/>
      <c r="N197" s="126"/>
      <c r="O197" s="126"/>
      <c r="P197" s="126"/>
      <c r="Q197" s="126"/>
      <c r="R197" s="126"/>
      <c r="S197" s="126"/>
      <c r="T197" s="126"/>
      <c r="V197" s="126">
        <v>1</v>
      </c>
      <c r="W197" s="126" t="s">
        <v>110</v>
      </c>
      <c r="X197" s="132">
        <f>IF((K$12=W197),V197,"")</f>
        <v>1</v>
      </c>
      <c r="Y197" s="132">
        <f>IFERROR(SMALL(X$197:X$205,V197),"")</f>
        <v>1</v>
      </c>
      <c r="Z197" s="126"/>
      <c r="AA197" s="126"/>
      <c r="AB197" s="126"/>
      <c r="AC197" s="126"/>
      <c r="AD197" s="126"/>
      <c r="AE197" s="126"/>
      <c r="AF197" s="126"/>
      <c r="AG197" s="126"/>
      <c r="AH197" s="126"/>
      <c r="AI197" s="126"/>
      <c r="AJ197" s="126">
        <v>1</v>
      </c>
      <c r="AK197" s="126" t="s">
        <v>110</v>
      </c>
      <c r="AL197" s="132">
        <f>IF((L$12=AK197),AJ197,"")</f>
        <v>1</v>
      </c>
      <c r="AM197" s="132">
        <f>IFERROR(SMALL(AL$197:AL$205,AJ197),"")</f>
        <v>1</v>
      </c>
      <c r="AN197" s="132"/>
      <c r="AO197" s="126"/>
      <c r="AP197" s="126"/>
      <c r="AQ197" s="126"/>
      <c r="AR197" s="126"/>
      <c r="AS197" s="126"/>
      <c r="AT197" s="126"/>
      <c r="AU197" s="126"/>
      <c r="AV197" s="126"/>
      <c r="AX197" s="126">
        <v>1</v>
      </c>
      <c r="AY197" s="126" t="s">
        <v>110</v>
      </c>
      <c r="AZ197" s="132">
        <f>IF((M$12=AY197),AX197,"")</f>
        <v>1</v>
      </c>
      <c r="BA197" s="132">
        <f>IFERROR(SMALL(AZ$197:AZ$205,AX197),"")</f>
        <v>1</v>
      </c>
      <c r="BB197" s="126"/>
      <c r="BC197" s="126"/>
      <c r="BD197" s="126"/>
      <c r="BE197" s="126"/>
      <c r="BF197" s="126"/>
      <c r="BG197" s="126"/>
      <c r="BH197" s="126"/>
      <c r="BI197" s="126"/>
      <c r="BL197" s="126"/>
      <c r="BM197" s="126"/>
    </row>
    <row r="198" spans="6:65" s="123" customFormat="1" hidden="1">
      <c r="F198" s="126">
        <v>2</v>
      </c>
      <c r="G198" s="126" t="s">
        <v>21</v>
      </c>
      <c r="H198" s="132" t="str">
        <f t="shared" ref="H198:H206" si="81">IF((J$12=G198),F198,"")</f>
        <v/>
      </c>
      <c r="I198" s="132" t="str">
        <f t="shared" ref="I198:I206" si="82">IFERROR(SMALL(H$197:H$206,F198),"")</f>
        <v/>
      </c>
      <c r="J198" s="126"/>
      <c r="K198" s="126"/>
      <c r="L198" s="126"/>
      <c r="M198" s="126"/>
      <c r="N198" s="126"/>
      <c r="O198" s="126"/>
      <c r="P198" s="126"/>
      <c r="Q198" s="126"/>
      <c r="R198" s="126"/>
      <c r="S198" s="126"/>
      <c r="T198" s="126"/>
      <c r="V198" s="126">
        <v>2</v>
      </c>
      <c r="W198" s="126" t="s">
        <v>21</v>
      </c>
      <c r="X198" s="132" t="str">
        <f t="shared" ref="X198:X205" si="83">IF((K$12=W198),V198,"")</f>
        <v/>
      </c>
      <c r="Y198" s="132" t="str">
        <f t="shared" ref="Y198:Y205" si="84">IFERROR(SMALL(X$197:X$205,V198),"")</f>
        <v/>
      </c>
      <c r="Z198" s="126"/>
      <c r="AA198" s="126"/>
      <c r="AB198" s="126"/>
      <c r="AC198" s="126"/>
      <c r="AD198" s="126"/>
      <c r="AE198" s="126"/>
      <c r="AF198" s="126"/>
      <c r="AG198" s="126"/>
      <c r="AH198" s="126"/>
      <c r="AI198" s="126"/>
      <c r="AJ198" s="126">
        <v>2</v>
      </c>
      <c r="AK198" s="126" t="s">
        <v>21</v>
      </c>
      <c r="AL198" s="132" t="str">
        <f t="shared" ref="AL198:AL205" si="85">IF((L$12=AK198),AJ198,"")</f>
        <v/>
      </c>
      <c r="AN198" s="132" t="str">
        <f t="shared" ref="AN198:AN205" si="86">IFERROR(SMALL(AL$197:AL$205,AJ198),"")</f>
        <v/>
      </c>
      <c r="AO198" s="126"/>
      <c r="AP198" s="126"/>
      <c r="AQ198" s="126"/>
      <c r="AR198" s="126"/>
      <c r="AS198" s="126"/>
      <c r="AT198" s="126"/>
      <c r="AU198" s="126"/>
      <c r="AV198" s="126"/>
      <c r="AX198" s="126">
        <v>2</v>
      </c>
      <c r="AY198" s="126" t="s">
        <v>21</v>
      </c>
      <c r="AZ198" s="132" t="str">
        <f>IF((M$12=AY198),AX198,"")</f>
        <v/>
      </c>
      <c r="BA198" s="132"/>
      <c r="BB198" s="126"/>
      <c r="BC198" s="126"/>
      <c r="BD198" s="126"/>
      <c r="BE198" s="126"/>
      <c r="BF198" s="126"/>
      <c r="BG198" s="126"/>
      <c r="BH198" s="126"/>
      <c r="BI198" s="126"/>
      <c r="BL198" s="126"/>
      <c r="BM198" s="126"/>
    </row>
    <row r="199" spans="6:65" s="123" customFormat="1" hidden="1">
      <c r="F199" s="126">
        <v>3</v>
      </c>
      <c r="G199" s="126" t="s">
        <v>47</v>
      </c>
      <c r="H199" s="132" t="str">
        <f t="shared" si="81"/>
        <v/>
      </c>
      <c r="I199" s="132" t="str">
        <f t="shared" si="82"/>
        <v/>
      </c>
      <c r="J199" s="126"/>
      <c r="K199" s="126"/>
      <c r="L199" s="126"/>
      <c r="M199" s="126"/>
      <c r="N199" s="126"/>
      <c r="O199" s="126"/>
      <c r="P199" s="126"/>
      <c r="Q199" s="126"/>
      <c r="R199" s="126"/>
      <c r="S199" s="126"/>
      <c r="T199" s="126"/>
      <c r="V199" s="126">
        <v>3</v>
      </c>
      <c r="W199" s="126" t="s">
        <v>47</v>
      </c>
      <c r="X199" s="132" t="str">
        <f t="shared" si="83"/>
        <v/>
      </c>
      <c r="Y199" s="132" t="str">
        <f t="shared" si="84"/>
        <v/>
      </c>
      <c r="Z199" s="126"/>
      <c r="AA199" s="126"/>
      <c r="AB199" s="126"/>
      <c r="AC199" s="126"/>
      <c r="AD199" s="126"/>
      <c r="AE199" s="126"/>
      <c r="AF199" s="126"/>
      <c r="AG199" s="126"/>
      <c r="AH199" s="126"/>
      <c r="AI199" s="126"/>
      <c r="AJ199" s="126">
        <v>3</v>
      </c>
      <c r="AK199" s="126" t="s">
        <v>47</v>
      </c>
      <c r="AL199" s="132" t="str">
        <f t="shared" si="85"/>
        <v/>
      </c>
      <c r="AN199" s="132" t="str">
        <f t="shared" si="86"/>
        <v/>
      </c>
      <c r="AO199" s="126"/>
      <c r="AP199" s="126"/>
      <c r="AQ199" s="126"/>
      <c r="AR199" s="126"/>
      <c r="AS199" s="126"/>
      <c r="AT199" s="126"/>
      <c r="AU199" s="126"/>
      <c r="AV199" s="126"/>
      <c r="AX199" s="126">
        <v>3</v>
      </c>
      <c r="AY199" s="126" t="s">
        <v>47</v>
      </c>
      <c r="AZ199" s="132" t="str">
        <f>IF((M$12=AY199),AX199,"")</f>
        <v/>
      </c>
      <c r="BA199" s="132"/>
      <c r="BB199" s="126"/>
      <c r="BC199" s="126"/>
      <c r="BD199" s="126"/>
      <c r="BE199" s="126"/>
      <c r="BF199" s="126"/>
      <c r="BG199" s="126"/>
      <c r="BH199" s="126"/>
      <c r="BI199" s="126"/>
      <c r="BL199" s="126"/>
      <c r="BM199" s="126"/>
    </row>
    <row r="200" spans="6:65" s="123" customFormat="1" hidden="1">
      <c r="F200" s="126">
        <v>4</v>
      </c>
      <c r="G200" s="126" t="s">
        <v>48</v>
      </c>
      <c r="H200" s="132" t="str">
        <f t="shared" si="81"/>
        <v/>
      </c>
      <c r="I200" s="132" t="str">
        <f t="shared" si="82"/>
        <v/>
      </c>
      <c r="J200" s="126"/>
      <c r="K200" s="126"/>
      <c r="L200" s="126"/>
      <c r="M200" s="126"/>
      <c r="N200" s="126"/>
      <c r="O200" s="126"/>
      <c r="P200" s="126"/>
      <c r="Q200" s="126"/>
      <c r="R200" s="126"/>
      <c r="S200" s="126"/>
      <c r="T200" s="126"/>
      <c r="V200" s="126">
        <v>4</v>
      </c>
      <c r="W200" s="126" t="s">
        <v>48</v>
      </c>
      <c r="X200" s="132" t="str">
        <f t="shared" si="83"/>
        <v/>
      </c>
      <c r="Y200" s="132" t="str">
        <f t="shared" si="84"/>
        <v/>
      </c>
      <c r="Z200" s="126"/>
      <c r="AA200" s="126"/>
      <c r="AB200" s="126"/>
      <c r="AC200" s="126"/>
      <c r="AD200" s="126"/>
      <c r="AE200" s="126"/>
      <c r="AF200" s="126"/>
      <c r="AG200" s="126"/>
      <c r="AH200" s="126"/>
      <c r="AI200" s="126"/>
      <c r="AJ200" s="126">
        <v>4</v>
      </c>
      <c r="AK200" s="126" t="s">
        <v>48</v>
      </c>
      <c r="AL200" s="132" t="str">
        <f t="shared" si="85"/>
        <v/>
      </c>
      <c r="AN200" s="132" t="str">
        <f t="shared" si="86"/>
        <v/>
      </c>
      <c r="AO200" s="126"/>
      <c r="AP200" s="126"/>
      <c r="AQ200" s="126"/>
      <c r="AR200" s="126"/>
      <c r="AS200" s="126"/>
      <c r="AT200" s="126"/>
      <c r="AU200" s="126"/>
      <c r="AV200" s="126"/>
      <c r="AX200" s="126">
        <v>4</v>
      </c>
      <c r="AY200" s="126" t="s">
        <v>48</v>
      </c>
      <c r="AZ200" s="132" t="str">
        <f>IF((M$12=AY200),AX200,"")</f>
        <v/>
      </c>
      <c r="BA200" s="132"/>
      <c r="BB200" s="126"/>
      <c r="BC200" s="126"/>
      <c r="BD200" s="126"/>
      <c r="BE200" s="126"/>
      <c r="BF200" s="126"/>
      <c r="BG200" s="126"/>
      <c r="BH200" s="126"/>
      <c r="BI200" s="126"/>
      <c r="BL200" s="126"/>
      <c r="BM200" s="126"/>
    </row>
    <row r="201" spans="6:65" s="123" customFormat="1" hidden="1">
      <c r="F201" s="126">
        <v>5</v>
      </c>
      <c r="G201" s="126" t="s">
        <v>49</v>
      </c>
      <c r="H201" s="132" t="str">
        <f>IF((J$12=G201),F201,"")</f>
        <v/>
      </c>
      <c r="I201" s="132" t="str">
        <f t="shared" si="82"/>
        <v/>
      </c>
      <c r="J201" s="126"/>
      <c r="K201" s="126"/>
      <c r="L201" s="126"/>
      <c r="M201" s="126"/>
      <c r="N201" s="126"/>
      <c r="O201" s="126"/>
      <c r="P201" s="126"/>
      <c r="Q201" s="126"/>
      <c r="R201" s="126"/>
      <c r="S201" s="126"/>
      <c r="T201" s="126"/>
      <c r="V201" s="126">
        <v>5</v>
      </c>
      <c r="W201" s="126" t="s">
        <v>49</v>
      </c>
      <c r="X201" s="132" t="str">
        <f t="shared" si="83"/>
        <v/>
      </c>
      <c r="Y201" s="132" t="str">
        <f t="shared" si="84"/>
        <v/>
      </c>
      <c r="Z201" s="126"/>
      <c r="AA201" s="126"/>
      <c r="AB201" s="126"/>
      <c r="AC201" s="126"/>
      <c r="AD201" s="126"/>
      <c r="AE201" s="126"/>
      <c r="AF201" s="126"/>
      <c r="AG201" s="126"/>
      <c r="AH201" s="126"/>
      <c r="AI201" s="126"/>
      <c r="AJ201" s="126">
        <v>5</v>
      </c>
      <c r="AK201" s="126" t="s">
        <v>49</v>
      </c>
      <c r="AL201" s="132" t="str">
        <f>IF((L$12=AK201),AJ201,"")</f>
        <v/>
      </c>
      <c r="AN201" s="132" t="str">
        <f t="shared" si="86"/>
        <v/>
      </c>
      <c r="AO201" s="126"/>
      <c r="AP201" s="126"/>
      <c r="AQ201" s="126"/>
      <c r="AR201" s="126"/>
      <c r="AS201" s="126"/>
      <c r="AT201" s="126"/>
      <c r="AU201" s="126"/>
      <c r="AV201" s="126"/>
      <c r="AX201" s="126">
        <v>5</v>
      </c>
      <c r="AY201" s="126" t="s">
        <v>49</v>
      </c>
      <c r="AZ201" s="132" t="str">
        <f t="shared" ref="AZ201:AZ205" si="87">IF((M$12=AY201),AX201,"")</f>
        <v/>
      </c>
      <c r="BA201" s="132"/>
      <c r="BB201" s="126"/>
      <c r="BC201" s="126"/>
      <c r="BD201" s="126"/>
      <c r="BE201" s="126"/>
      <c r="BF201" s="126"/>
      <c r="BG201" s="126"/>
      <c r="BH201" s="126"/>
      <c r="BI201" s="126"/>
      <c r="BL201" s="126"/>
      <c r="BM201" s="126"/>
    </row>
    <row r="202" spans="6:65" s="123" customFormat="1" hidden="1">
      <c r="F202" s="126">
        <v>6</v>
      </c>
      <c r="G202" s="126" t="s">
        <v>50</v>
      </c>
      <c r="H202" s="132" t="str">
        <f t="shared" si="81"/>
        <v/>
      </c>
      <c r="I202" s="132" t="str">
        <f t="shared" si="82"/>
        <v/>
      </c>
      <c r="J202" s="126"/>
      <c r="K202" s="126"/>
      <c r="L202" s="126"/>
      <c r="M202" s="126"/>
      <c r="N202" s="126"/>
      <c r="O202" s="126"/>
      <c r="P202" s="126"/>
      <c r="Q202" s="126"/>
      <c r="R202" s="126"/>
      <c r="S202" s="126"/>
      <c r="T202" s="126"/>
      <c r="V202" s="126">
        <v>6</v>
      </c>
      <c r="W202" s="126" t="s">
        <v>50</v>
      </c>
      <c r="X202" s="132" t="str">
        <f t="shared" si="83"/>
        <v/>
      </c>
      <c r="Y202" s="132" t="str">
        <f t="shared" si="84"/>
        <v/>
      </c>
      <c r="Z202" s="126"/>
      <c r="AA202" s="126"/>
      <c r="AB202" s="126"/>
      <c r="AC202" s="126"/>
      <c r="AD202" s="126"/>
      <c r="AE202" s="126"/>
      <c r="AF202" s="126"/>
      <c r="AG202" s="126"/>
      <c r="AH202" s="126"/>
      <c r="AI202" s="126"/>
      <c r="AJ202" s="126">
        <v>6</v>
      </c>
      <c r="AK202" s="126" t="s">
        <v>50</v>
      </c>
      <c r="AL202" s="132" t="str">
        <f t="shared" si="85"/>
        <v/>
      </c>
      <c r="AN202" s="132" t="str">
        <f t="shared" si="86"/>
        <v/>
      </c>
      <c r="AO202" s="126"/>
      <c r="AP202" s="126"/>
      <c r="AQ202" s="126"/>
      <c r="AR202" s="126"/>
      <c r="AS202" s="126"/>
      <c r="AT202" s="126"/>
      <c r="AU202" s="126"/>
      <c r="AV202" s="126"/>
      <c r="AX202" s="126">
        <v>6</v>
      </c>
      <c r="AY202" s="126" t="s">
        <v>50</v>
      </c>
      <c r="AZ202" s="132" t="str">
        <f t="shared" si="87"/>
        <v/>
      </c>
      <c r="BA202" s="132"/>
      <c r="BB202" s="126"/>
      <c r="BC202" s="126"/>
      <c r="BD202" s="126"/>
      <c r="BE202" s="126"/>
      <c r="BF202" s="126"/>
      <c r="BG202" s="126"/>
      <c r="BH202" s="126"/>
      <c r="BI202" s="126"/>
      <c r="BL202" s="126"/>
      <c r="BM202" s="126"/>
    </row>
    <row r="203" spans="6:65" s="123" customFormat="1" hidden="1">
      <c r="F203" s="126">
        <v>7</v>
      </c>
      <c r="G203" s="126" t="s">
        <v>51</v>
      </c>
      <c r="H203" s="132" t="str">
        <f t="shared" si="81"/>
        <v/>
      </c>
      <c r="I203" s="132" t="str">
        <f t="shared" si="82"/>
        <v/>
      </c>
      <c r="J203" s="126"/>
      <c r="K203" s="126"/>
      <c r="L203" s="126"/>
      <c r="M203" s="126"/>
      <c r="N203" s="126"/>
      <c r="O203" s="126"/>
      <c r="P203" s="126"/>
      <c r="Q203" s="126"/>
      <c r="R203" s="126"/>
      <c r="S203" s="126"/>
      <c r="T203" s="126"/>
      <c r="V203" s="126">
        <v>7</v>
      </c>
      <c r="W203" s="126" t="s">
        <v>51</v>
      </c>
      <c r="X203" s="132" t="str">
        <f t="shared" si="83"/>
        <v/>
      </c>
      <c r="Y203" s="132" t="str">
        <f t="shared" si="84"/>
        <v/>
      </c>
      <c r="Z203" s="126"/>
      <c r="AA203" s="126"/>
      <c r="AB203" s="126"/>
      <c r="AC203" s="126"/>
      <c r="AD203" s="126"/>
      <c r="AE203" s="126"/>
      <c r="AF203" s="126"/>
      <c r="AG203" s="126"/>
      <c r="AH203" s="126"/>
      <c r="AI203" s="126"/>
      <c r="AJ203" s="126">
        <v>7</v>
      </c>
      <c r="AK203" s="126" t="s">
        <v>51</v>
      </c>
      <c r="AL203" s="132" t="str">
        <f t="shared" si="85"/>
        <v/>
      </c>
      <c r="AN203" s="132" t="str">
        <f t="shared" si="86"/>
        <v/>
      </c>
      <c r="AO203" s="126"/>
      <c r="AP203" s="126"/>
      <c r="AQ203" s="126"/>
      <c r="AR203" s="126"/>
      <c r="AS203" s="126"/>
      <c r="AT203" s="126"/>
      <c r="AU203" s="126"/>
      <c r="AV203" s="126"/>
      <c r="AX203" s="126">
        <v>7</v>
      </c>
      <c r="AY203" s="126" t="s">
        <v>51</v>
      </c>
      <c r="AZ203" s="132" t="str">
        <f t="shared" si="87"/>
        <v/>
      </c>
      <c r="BA203" s="132"/>
      <c r="BB203" s="126"/>
      <c r="BC203" s="126"/>
      <c r="BD203" s="126"/>
      <c r="BE203" s="126"/>
      <c r="BF203" s="126"/>
      <c r="BG203" s="126"/>
      <c r="BH203" s="126"/>
      <c r="BI203" s="126"/>
      <c r="BL203" s="126"/>
      <c r="BM203" s="126"/>
    </row>
    <row r="204" spans="6:65" s="123" customFormat="1" hidden="1">
      <c r="F204" s="126">
        <v>8</v>
      </c>
      <c r="G204" s="126" t="s">
        <v>53</v>
      </c>
      <c r="H204" s="132" t="str">
        <f t="shared" si="81"/>
        <v/>
      </c>
      <c r="I204" s="132" t="str">
        <f t="shared" si="82"/>
        <v/>
      </c>
      <c r="J204" s="126"/>
      <c r="K204" s="126"/>
      <c r="L204" s="126"/>
      <c r="M204" s="126"/>
      <c r="N204" s="126"/>
      <c r="O204" s="126"/>
      <c r="P204" s="126"/>
      <c r="Q204" s="126"/>
      <c r="R204" s="126"/>
      <c r="S204" s="126"/>
      <c r="T204" s="126"/>
      <c r="V204" s="126">
        <v>8</v>
      </c>
      <c r="W204" s="126" t="s">
        <v>53</v>
      </c>
      <c r="X204" s="132" t="str">
        <f t="shared" si="83"/>
        <v/>
      </c>
      <c r="Y204" s="132" t="str">
        <f t="shared" si="84"/>
        <v/>
      </c>
      <c r="Z204" s="126"/>
      <c r="AA204" s="126"/>
      <c r="AB204" s="126"/>
      <c r="AC204" s="126"/>
      <c r="AD204" s="126"/>
      <c r="AE204" s="126"/>
      <c r="AF204" s="126"/>
      <c r="AG204" s="126"/>
      <c r="AH204" s="126"/>
      <c r="AI204" s="126"/>
      <c r="AJ204" s="126">
        <v>8</v>
      </c>
      <c r="AK204" s="126" t="s">
        <v>53</v>
      </c>
      <c r="AL204" s="132" t="str">
        <f t="shared" si="85"/>
        <v/>
      </c>
      <c r="AN204" s="132" t="str">
        <f t="shared" si="86"/>
        <v/>
      </c>
      <c r="AO204" s="126"/>
      <c r="AP204" s="126"/>
      <c r="AQ204" s="126"/>
      <c r="AR204" s="126"/>
      <c r="AS204" s="126"/>
      <c r="AT204" s="126"/>
      <c r="AU204" s="126"/>
      <c r="AV204" s="126"/>
      <c r="AX204" s="126">
        <v>8</v>
      </c>
      <c r="AY204" s="126" t="s">
        <v>53</v>
      </c>
      <c r="AZ204" s="132" t="str">
        <f t="shared" si="87"/>
        <v/>
      </c>
      <c r="BA204" s="132"/>
      <c r="BB204" s="126"/>
      <c r="BC204" s="126"/>
      <c r="BD204" s="126"/>
      <c r="BE204" s="126"/>
      <c r="BF204" s="126"/>
      <c r="BG204" s="126"/>
      <c r="BH204" s="126"/>
      <c r="BI204" s="126"/>
      <c r="BL204" s="126"/>
      <c r="BM204" s="126"/>
    </row>
    <row r="205" spans="6:65" s="123" customFormat="1" hidden="1">
      <c r="F205" s="126">
        <v>9</v>
      </c>
      <c r="G205" s="126" t="s">
        <v>54</v>
      </c>
      <c r="H205" s="132" t="str">
        <f t="shared" si="81"/>
        <v/>
      </c>
      <c r="I205" s="132" t="str">
        <f t="shared" si="82"/>
        <v/>
      </c>
      <c r="J205" s="126"/>
      <c r="K205" s="126"/>
      <c r="L205" s="126"/>
      <c r="M205" s="126"/>
      <c r="N205" s="126"/>
      <c r="O205" s="126"/>
      <c r="P205" s="126"/>
      <c r="Q205" s="126"/>
      <c r="R205" s="126"/>
      <c r="S205" s="126"/>
      <c r="T205" s="126"/>
      <c r="V205" s="126">
        <v>9</v>
      </c>
      <c r="W205" s="126" t="s">
        <v>54</v>
      </c>
      <c r="X205" s="132" t="str">
        <f t="shared" si="83"/>
        <v/>
      </c>
      <c r="Y205" s="132" t="str">
        <f t="shared" si="84"/>
        <v/>
      </c>
      <c r="Z205" s="126"/>
      <c r="AA205" s="126"/>
      <c r="AB205" s="126"/>
      <c r="AC205" s="126"/>
      <c r="AD205" s="126"/>
      <c r="AE205" s="126"/>
      <c r="AF205" s="126"/>
      <c r="AG205" s="126"/>
      <c r="AH205" s="126"/>
      <c r="AI205" s="126"/>
      <c r="AJ205" s="126">
        <v>9</v>
      </c>
      <c r="AK205" s="126" t="s">
        <v>54</v>
      </c>
      <c r="AL205" s="132" t="str">
        <f t="shared" si="85"/>
        <v/>
      </c>
      <c r="AN205" s="132" t="str">
        <f t="shared" si="86"/>
        <v/>
      </c>
      <c r="AO205" s="126"/>
      <c r="AP205" s="126"/>
      <c r="AQ205" s="126"/>
      <c r="AR205" s="126"/>
      <c r="AS205" s="126"/>
      <c r="AT205" s="126"/>
      <c r="AU205" s="126"/>
      <c r="AV205" s="126"/>
      <c r="AX205" s="126">
        <v>9</v>
      </c>
      <c r="AY205" s="126" t="s">
        <v>54</v>
      </c>
      <c r="AZ205" s="132" t="str">
        <f t="shared" si="87"/>
        <v/>
      </c>
      <c r="BA205" s="132"/>
      <c r="BB205" s="126"/>
      <c r="BC205" s="126"/>
      <c r="BD205" s="126"/>
      <c r="BE205" s="126"/>
      <c r="BF205" s="126"/>
      <c r="BG205" s="126"/>
      <c r="BH205" s="126"/>
      <c r="BI205" s="126"/>
      <c r="BL205" s="126"/>
      <c r="BM205" s="126"/>
    </row>
    <row r="206" spans="6:65" s="123" customFormat="1" hidden="1">
      <c r="F206" s="126">
        <v>10</v>
      </c>
      <c r="G206" s="133" t="s">
        <v>13</v>
      </c>
      <c r="H206" s="132" t="str">
        <f t="shared" si="81"/>
        <v/>
      </c>
      <c r="I206" s="132" t="str">
        <f t="shared" si="82"/>
        <v/>
      </c>
      <c r="J206" s="126"/>
      <c r="K206" s="126"/>
      <c r="L206" s="126"/>
      <c r="M206" s="126"/>
      <c r="N206" s="126"/>
      <c r="O206" s="126"/>
      <c r="P206" s="126"/>
      <c r="Q206" s="126"/>
      <c r="R206" s="126"/>
      <c r="S206" s="126"/>
      <c r="T206" s="126"/>
      <c r="AB206" s="126"/>
      <c r="AC206" s="126"/>
      <c r="AD206" s="126"/>
      <c r="AE206" s="126"/>
      <c r="AF206" s="126"/>
      <c r="AG206" s="126"/>
      <c r="AH206" s="126"/>
      <c r="AI206" s="126"/>
      <c r="AP206" s="126"/>
      <c r="AQ206" s="126"/>
      <c r="AR206" s="126"/>
      <c r="AS206" s="126"/>
      <c r="AT206" s="126"/>
      <c r="AU206" s="126"/>
      <c r="AV206" s="126"/>
      <c r="BD206" s="126"/>
      <c r="BE206" s="126"/>
      <c r="BF206" s="126"/>
      <c r="BG206" s="126"/>
      <c r="BH206" s="126"/>
      <c r="BI206" s="126"/>
      <c r="BL206" s="126"/>
      <c r="BM206" s="126"/>
    </row>
    <row r="207" spans="6:65" hidden="1">
      <c r="F207" s="2"/>
      <c r="G207" s="2"/>
      <c r="H207" s="2"/>
      <c r="I207" s="2"/>
      <c r="J207" s="2"/>
      <c r="K207" s="2"/>
      <c r="L207" s="2"/>
      <c r="M207" s="2"/>
      <c r="N207" s="2"/>
      <c r="O207" s="2"/>
      <c r="P207" s="2"/>
      <c r="Q207" s="2"/>
      <c r="R207" s="2"/>
      <c r="S207" s="2"/>
      <c r="T207" s="2"/>
      <c r="V207" s="2"/>
      <c r="W207" s="17"/>
      <c r="X207" s="57"/>
      <c r="Y207" s="2"/>
      <c r="Z207" s="2"/>
      <c r="AA207" s="2"/>
      <c r="AB207" s="2"/>
      <c r="AC207" s="2"/>
      <c r="AD207" s="2"/>
      <c r="AE207" s="2"/>
      <c r="AF207" s="2"/>
      <c r="AG207" s="2"/>
      <c r="AH207" s="2"/>
      <c r="AI207" s="2"/>
      <c r="AJ207" s="2"/>
      <c r="AK207" s="2"/>
      <c r="AL207" s="2"/>
      <c r="AM207" s="2"/>
      <c r="AN207" s="2"/>
      <c r="AO207" s="2"/>
      <c r="AP207" s="2"/>
      <c r="AQ207" s="2"/>
      <c r="AR207" s="2"/>
      <c r="AS207" s="2"/>
      <c r="AT207" s="2"/>
      <c r="AU207" s="2"/>
      <c r="AV207" s="2"/>
      <c r="AX207" s="2"/>
      <c r="AY207" s="2"/>
      <c r="AZ207" s="2"/>
      <c r="BA207" s="2"/>
      <c r="BB207" s="2"/>
      <c r="BC207" s="2"/>
      <c r="BD207" s="2"/>
      <c r="BE207" s="2"/>
      <c r="BF207" s="2"/>
      <c r="BG207" s="2"/>
      <c r="BH207" s="2"/>
      <c r="BI207" s="2"/>
      <c r="BL207" s="2"/>
      <c r="BM207" s="2"/>
    </row>
    <row r="208" spans="6:65" hidden="1">
      <c r="F208" s="2"/>
      <c r="G208" s="2"/>
      <c r="H208" s="2"/>
      <c r="I208" s="2"/>
      <c r="J208" s="2"/>
      <c r="K208" s="2"/>
      <c r="L208" s="2"/>
      <c r="M208" s="2"/>
      <c r="N208" s="2"/>
      <c r="O208" s="2"/>
      <c r="P208" s="2"/>
      <c r="Q208" s="2"/>
      <c r="R208" s="2"/>
      <c r="S208" s="2"/>
      <c r="T208" s="2"/>
      <c r="V208" s="2"/>
      <c r="W208" s="17"/>
      <c r="X208" s="57"/>
      <c r="Y208" s="2"/>
      <c r="Z208" s="2"/>
      <c r="AA208" s="2"/>
      <c r="AB208" s="2"/>
      <c r="AC208" s="2"/>
      <c r="AD208" s="2"/>
      <c r="AE208" s="2"/>
      <c r="AF208" s="2"/>
      <c r="AG208" s="2"/>
      <c r="AH208" s="2"/>
      <c r="AI208" s="2"/>
      <c r="AJ208" s="2"/>
      <c r="AK208" s="2"/>
      <c r="AL208" s="2"/>
      <c r="AM208" s="2"/>
      <c r="AN208" s="2"/>
      <c r="AO208" s="2"/>
      <c r="AP208" s="2"/>
      <c r="AQ208" s="2"/>
      <c r="AR208" s="2"/>
      <c r="AS208" s="2"/>
      <c r="AT208" s="2"/>
      <c r="AU208" s="2"/>
      <c r="AV208" s="2"/>
      <c r="AX208" s="2"/>
      <c r="AY208" s="2"/>
      <c r="AZ208" s="2"/>
      <c r="BA208" s="2"/>
      <c r="BB208" s="2"/>
      <c r="BC208" s="2"/>
      <c r="BD208" s="2"/>
      <c r="BE208" s="2"/>
      <c r="BF208" s="2"/>
      <c r="BG208" s="2"/>
      <c r="BH208" s="2"/>
      <c r="BI208" s="2"/>
      <c r="BL208" s="2"/>
      <c r="BM208" s="2"/>
    </row>
    <row r="209" spans="6:65" hidden="1">
      <c r="F209" s="2"/>
      <c r="G209" s="12" t="s">
        <v>56</v>
      </c>
      <c r="H209" s="12" t="s">
        <v>69</v>
      </c>
      <c r="I209" s="2" t="s">
        <v>58</v>
      </c>
      <c r="J209" s="2" t="s">
        <v>58</v>
      </c>
      <c r="K209" s="12" t="s">
        <v>59</v>
      </c>
      <c r="L209" s="2" t="s">
        <v>60</v>
      </c>
      <c r="M209" s="2" t="s">
        <v>61</v>
      </c>
      <c r="N209" s="2" t="s">
        <v>62</v>
      </c>
      <c r="O209" s="2"/>
      <c r="P209" s="2"/>
      <c r="Q209" s="2"/>
      <c r="R209" s="2"/>
      <c r="S209" s="2"/>
      <c r="T209" s="2"/>
      <c r="V209" s="2"/>
      <c r="W209" s="12" t="s">
        <v>56</v>
      </c>
      <c r="X209" s="12" t="s">
        <v>69</v>
      </c>
      <c r="Y209" s="2" t="s">
        <v>58</v>
      </c>
      <c r="Z209" s="2" t="s">
        <v>58</v>
      </c>
      <c r="AA209" s="12" t="s">
        <v>59</v>
      </c>
      <c r="AB209" s="2" t="s">
        <v>60</v>
      </c>
      <c r="AC209" s="2" t="s">
        <v>61</v>
      </c>
      <c r="AD209" s="2" t="s">
        <v>62</v>
      </c>
      <c r="AE209" s="2"/>
      <c r="AF209" s="2"/>
      <c r="AG209" s="2"/>
      <c r="AH209" s="2"/>
      <c r="AI209" s="2"/>
      <c r="AJ209" s="2"/>
      <c r="AK209" s="12" t="s">
        <v>56</v>
      </c>
      <c r="AL209" s="12" t="s">
        <v>69</v>
      </c>
      <c r="AM209" s="2" t="s">
        <v>58</v>
      </c>
      <c r="AN209" s="2" t="s">
        <v>58</v>
      </c>
      <c r="AO209" s="12" t="s">
        <v>59</v>
      </c>
      <c r="AP209" s="2" t="s">
        <v>60</v>
      </c>
      <c r="AQ209" s="2" t="s">
        <v>61</v>
      </c>
      <c r="AR209" s="2" t="s">
        <v>62</v>
      </c>
      <c r="AS209" s="2"/>
      <c r="AT209" s="2"/>
      <c r="AU209" s="2"/>
      <c r="AV209" s="2"/>
      <c r="AX209" s="2"/>
      <c r="AY209" s="12" t="s">
        <v>56</v>
      </c>
      <c r="AZ209" s="12" t="s">
        <v>69</v>
      </c>
      <c r="BA209" s="2" t="s">
        <v>58</v>
      </c>
      <c r="BB209" s="2" t="s">
        <v>58</v>
      </c>
      <c r="BC209" s="12" t="s">
        <v>59</v>
      </c>
      <c r="BD209" s="2" t="s">
        <v>60</v>
      </c>
      <c r="BE209" s="2" t="s">
        <v>61</v>
      </c>
      <c r="BF209" s="2" t="s">
        <v>62</v>
      </c>
      <c r="BG209" s="2"/>
      <c r="BH209" s="2"/>
      <c r="BI209" s="2"/>
      <c r="BL209" s="2"/>
      <c r="BM209" s="2"/>
    </row>
    <row r="210" spans="6:65" hidden="1">
      <c r="F210" s="2">
        <v>1</v>
      </c>
      <c r="G210" s="3" t="s">
        <v>63</v>
      </c>
      <c r="H210" s="14">
        <f>IF(I185=1,0.20237, IF(I185=2, 0.614, IF(I185=3,0.304, IF(I185=4,0.189, IF(I185=5, 0.128, IF(I185=6, 0.096, IF(I185=7, 0.096, IF(I185=8, 0.096, IF(I185=9, 0.096,"")))))))))</f>
        <v>0.61399999999999999</v>
      </c>
      <c r="I210" s="3" t="str">
        <f>IF((J$9=G210),F210,"")</f>
        <v/>
      </c>
      <c r="J210" s="3">
        <f>IFERROR(SMALL(I$210:I$211,F210),"")</f>
        <v>2</v>
      </c>
      <c r="K210" s="3">
        <v>70</v>
      </c>
      <c r="L210" s="3" t="b">
        <f>IF(J$210=F210,J$13*H210*12919)</f>
        <v>0</v>
      </c>
      <c r="M210" s="3" t="b">
        <f>IF(J$210=F210,J$14*H210*12919)</f>
        <v>0</v>
      </c>
      <c r="N210" s="3">
        <f>(((L210-M210)/1000)*0.000001)*J$7</f>
        <v>0</v>
      </c>
      <c r="O210" s="2" t="s">
        <v>64</v>
      </c>
      <c r="P210" s="2"/>
      <c r="Q210" s="2"/>
      <c r="R210" s="2"/>
      <c r="S210" s="2"/>
      <c r="T210" s="2"/>
      <c r="V210" s="2">
        <v>1</v>
      </c>
      <c r="W210" s="3" t="s">
        <v>63</v>
      </c>
      <c r="X210" s="14">
        <f>IF(Y186=1,0.20237, IF(Y186=2, 0.614, IF(Y186=3,0.304, IF(Y186=4,0.189, IF(Y186=5, 0.128, IF(Y186=6, 0.096, IF(Y186=7, 0.096, IF(Y186=8, 0.096, IF(Y186=9, 0.096,"")))))))))</f>
        <v>0.61399999999999999</v>
      </c>
      <c r="Y210" s="3" t="str">
        <f>IF((K$9=W210),V210,"")</f>
        <v/>
      </c>
      <c r="Z210" s="3">
        <f>IFERROR(SMALL(Y$210:Y$211,V210),"")</f>
        <v>2</v>
      </c>
      <c r="AA210" s="3">
        <v>70</v>
      </c>
      <c r="AB210" s="3" t="b">
        <f>IF(Z$210=V210,K$13*X210*12919)</f>
        <v>0</v>
      </c>
      <c r="AC210" s="3" t="b">
        <f>IF(Z$210=V210,K$14*X210*12919)</f>
        <v>0</v>
      </c>
      <c r="AD210" s="3">
        <f>(((AB210-AC210)/1000)*0.000001)*K$7</f>
        <v>0</v>
      </c>
      <c r="AE210" s="2" t="s">
        <v>64</v>
      </c>
      <c r="AF210" s="2"/>
      <c r="AG210" s="2"/>
      <c r="AH210" s="2"/>
      <c r="AI210" s="2"/>
      <c r="AJ210" s="2">
        <v>1</v>
      </c>
      <c r="AK210" s="3" t="s">
        <v>63</v>
      </c>
      <c r="AL210" s="14">
        <f>IF(AM186=1,0.20237, IF(AM186=2, 0.614, IF(AM186=3,0.304, IF(AM186=4,0.189, IF(AM186=5, 0.128, IF(AM186=6, 0.096, IF(AM186=7, 0.096, IF(AM186=8, 0.096, IF(AM186=9, 0.096,"")))))))))</f>
        <v>0.61399999999999999</v>
      </c>
      <c r="AM210" s="3" t="str">
        <f>IF((L$9=AK210),AJ210,"")</f>
        <v/>
      </c>
      <c r="AN210" s="3">
        <f>IFERROR(SMALL(AM$210:AM$211,AJ210),"")</f>
        <v>2</v>
      </c>
      <c r="AO210" s="3">
        <v>70</v>
      </c>
      <c r="AP210" s="3" t="b">
        <f>IF(AN$210=AJ210,L$13*AL210*12919)</f>
        <v>0</v>
      </c>
      <c r="AQ210" s="3" t="b">
        <f>IF(AN$210=AJ210,L$14*AL210*12919)</f>
        <v>0</v>
      </c>
      <c r="AR210" s="3">
        <f>(((AP210-AQ210)/1000)*0.000001)*L$7</f>
        <v>0</v>
      </c>
      <c r="AS210" s="2" t="s">
        <v>64</v>
      </c>
      <c r="AT210" s="2"/>
      <c r="AU210" s="2"/>
      <c r="AV210" s="2"/>
      <c r="AX210" s="2">
        <v>1</v>
      </c>
      <c r="AY210" s="3" t="s">
        <v>63</v>
      </c>
      <c r="AZ210" s="14">
        <f>IF(BA186=1,0.20237, IF(BA186=2, 0.614, IF(BA186=3,0.304, IF(BA186=4,0.189, IF(BA186=5, 0.128, IF(BA186=6, 0.096, IF(BA186=7, 0.096, IF(BA186=8, 0.096, IF(BA186=9, 0.096,"")))))))))</f>
        <v>0.61399999999999999</v>
      </c>
      <c r="BA210" s="3" t="str">
        <f>IF((M$9=AY210),AX210,"")</f>
        <v/>
      </c>
      <c r="BB210" s="3">
        <f>IFERROR(SMALL(BA$210:BA$211,AX210),"")</f>
        <v>2</v>
      </c>
      <c r="BC210" s="3">
        <v>70</v>
      </c>
      <c r="BD210" s="3" t="b">
        <f>IF(BB$210=AX210,M$13*AZ210*12919)</f>
        <v>0</v>
      </c>
      <c r="BE210" s="3" t="b">
        <f>IF(BB$210=AX210,M$14*AZ210*12919)</f>
        <v>0</v>
      </c>
      <c r="BF210" s="3">
        <f>(((BD210-BE210)/1000)*0.000001)*M$7</f>
        <v>0</v>
      </c>
      <c r="BG210" s="2" t="s">
        <v>64</v>
      </c>
      <c r="BH210" s="2"/>
      <c r="BI210" s="2"/>
      <c r="BL210" s="2"/>
      <c r="BM210" s="2"/>
    </row>
    <row r="211" spans="6:65" hidden="1">
      <c r="F211" s="2">
        <v>2</v>
      </c>
      <c r="G211" s="3" t="s">
        <v>106</v>
      </c>
      <c r="H211" s="14">
        <f>IF(I185=1,0.06987, IF(I185=2, 0.141, IF(I185=3, 0.149, IF(I185=4, 0.094, IF(I185=5, 0.035, IF(I185=6, 0.035, IF(I185=7, 0.035, IF(I185=8, 0.035, IF(I185=9, 0.035,"")))))))))</f>
        <v>0.14099999999999999</v>
      </c>
      <c r="I211" s="3">
        <f>IF((J$9=G211),F211,"")</f>
        <v>2</v>
      </c>
      <c r="J211" s="3" t="str">
        <f>IFERROR(SMALL(I$210:I$211,F211),"")</f>
        <v/>
      </c>
      <c r="K211" s="3">
        <v>80</v>
      </c>
      <c r="L211" s="3">
        <f>IF(J$210=F211,J$13*H211*20787)</f>
        <v>146548349.99999997</v>
      </c>
      <c r="M211" s="3">
        <f>IF(J$210=F211,J$14*H211*20787)</f>
        <v>0</v>
      </c>
      <c r="N211" s="3">
        <f>(((L211-M211)/1000)*0.000001)*J$7</f>
        <v>0.14654834999999997</v>
      </c>
      <c r="O211" s="2" t="s">
        <v>64</v>
      </c>
      <c r="P211" s="2"/>
      <c r="Q211" s="2"/>
      <c r="R211" s="2"/>
      <c r="S211" s="2"/>
      <c r="T211" s="2"/>
      <c r="V211" s="2">
        <v>2</v>
      </c>
      <c r="W211" s="3" t="s">
        <v>106</v>
      </c>
      <c r="X211" s="14">
        <f>IF(Y186=1,0.06987, IF(Y186=2, 0.141, IF(Y186=3, 0.149, IF(Y186=4, 0.094, IF(Y186=5, 0.035, IF(Y186=6, 0.035, IF(Y186=7, 0.035, IF(Y186=8, 0.035, IF(Y186=9, 0.035,"")))))))))</f>
        <v>0.14099999999999999</v>
      </c>
      <c r="Y211" s="3">
        <f>IF((K$9=W211),V211,"")</f>
        <v>2</v>
      </c>
      <c r="Z211" s="3" t="str">
        <f>IFERROR(SMALL(Y$210:Y$211,V211),"")</f>
        <v/>
      </c>
      <c r="AA211" s="3">
        <v>80</v>
      </c>
      <c r="AB211" s="3">
        <f>IF(Z$210=V211,K$13*X211*20787)</f>
        <v>146548349.99999997</v>
      </c>
      <c r="AC211" s="3">
        <f>IF(Z$210=V211,K$14*X211*20787)</f>
        <v>0</v>
      </c>
      <c r="AD211" s="3">
        <f>(((AB211-AC211)/1000)*0.000001)*K$7</f>
        <v>0.14654834999999997</v>
      </c>
      <c r="AE211" s="2" t="s">
        <v>64</v>
      </c>
      <c r="AF211" s="2"/>
      <c r="AG211" s="2"/>
      <c r="AH211" s="2"/>
      <c r="AI211" s="2"/>
      <c r="AJ211" s="2">
        <v>2</v>
      </c>
      <c r="AK211" s="3" t="s">
        <v>106</v>
      </c>
      <c r="AL211" s="14">
        <f>IF(AM186=1,0.06987, IF(AM186=2, 0.141, IF(AM186=3, 0.149, IF(AM186=4, 0.094, IF(AM186=5, 0.035, IF(AM186=6, 0.035, IF(AM186=7, 0.035, IF(AM186=8, 0.035, IF(AM186=9, 0.035,"")))))))))</f>
        <v>0.14099999999999999</v>
      </c>
      <c r="AM211" s="3">
        <f>IF((L$9=AK211),AJ211,"")</f>
        <v>2</v>
      </c>
      <c r="AN211" s="3" t="str">
        <f>IFERROR(SMALL(AM$210:AM$211,AJ211),"")</f>
        <v/>
      </c>
      <c r="AO211" s="3">
        <v>80</v>
      </c>
      <c r="AP211" s="3">
        <f>IF(AN$210=AJ211,L$13*AL211*20787)</f>
        <v>146548349.99999997</v>
      </c>
      <c r="AQ211" s="3">
        <f>IF(AN$210=AJ211,L$14*AL211*20787)</f>
        <v>0</v>
      </c>
      <c r="AR211" s="3">
        <f>(((AP211-AQ211)/1000)*0.000001)*L$7</f>
        <v>0.14654834999999997</v>
      </c>
      <c r="AS211" s="2" t="s">
        <v>64</v>
      </c>
      <c r="AT211" s="2"/>
      <c r="AU211" s="2"/>
      <c r="AV211" s="2"/>
      <c r="AX211" s="2">
        <v>2</v>
      </c>
      <c r="AY211" s="3" t="s">
        <v>106</v>
      </c>
      <c r="AZ211" s="14">
        <f>IF(BA186=1,0.06987, IF(BA186=2, 0.141, IF(BA186=3, 0.149, IF(BA186=4, 0.094, IF(BA186=5, 0.035, IF(BA186=6, 0.035, IF(BA186=7, 0.035, IF(BA186=8, 0.035, IF(BA186=9, 0.035,"")))))))))</f>
        <v>0.14099999999999999</v>
      </c>
      <c r="BA211" s="3">
        <f>IF((M$9=AY211),AX211,"")</f>
        <v>2</v>
      </c>
      <c r="BB211" s="3" t="str">
        <f>IFERROR(SMALL(BA$210:BA$211,AX211),"")</f>
        <v/>
      </c>
      <c r="BC211" s="3">
        <v>80</v>
      </c>
      <c r="BD211" s="3">
        <f>IF(BB$210=AX211,M$13*AZ211*20787)</f>
        <v>146548349.99999997</v>
      </c>
      <c r="BE211" s="3">
        <f>IF(BB$210=AX211,M$14*AZ211*20787)</f>
        <v>0</v>
      </c>
      <c r="BF211" s="3">
        <f>(((BD211-BE211)/1000)*0.000001)*M$7</f>
        <v>0.14654834999999997</v>
      </c>
      <c r="BG211" s="2" t="s">
        <v>64</v>
      </c>
      <c r="BH211" s="2"/>
      <c r="BI211" s="2"/>
      <c r="BL211" s="2"/>
      <c r="BM211" s="2"/>
    </row>
    <row r="212" spans="6:65" hidden="1">
      <c r="F212" s="2">
        <v>3</v>
      </c>
      <c r="G212" s="17" t="s">
        <v>13</v>
      </c>
      <c r="H212" s="2"/>
      <c r="I212" s="2"/>
      <c r="J212" s="2"/>
      <c r="K212" s="2"/>
      <c r="L212" s="2"/>
      <c r="M212" s="2"/>
      <c r="N212" s="2"/>
      <c r="O212" s="2"/>
      <c r="P212" s="2"/>
      <c r="Q212" s="2"/>
      <c r="R212" s="2"/>
      <c r="S212" s="2"/>
      <c r="T212" s="2"/>
      <c r="V212" s="2"/>
      <c r="W212" s="2"/>
      <c r="X212" s="2"/>
      <c r="Y212" s="2"/>
      <c r="Z212" s="2"/>
      <c r="AA212" s="2"/>
      <c r="AB212" s="2"/>
      <c r="AC212" s="2"/>
      <c r="AD212" s="2"/>
      <c r="AE212" s="2"/>
      <c r="AF212" s="2"/>
      <c r="AG212" s="2"/>
      <c r="AH212" s="2"/>
      <c r="AI212" s="2"/>
      <c r="AJ212" s="2"/>
      <c r="AK212" s="2"/>
      <c r="AL212" s="2"/>
      <c r="AM212" s="2"/>
      <c r="AN212" s="2"/>
      <c r="AO212" s="2"/>
      <c r="AP212" s="2"/>
      <c r="AQ212" s="2"/>
      <c r="AR212" s="2"/>
      <c r="AS212" s="2"/>
      <c r="AT212" s="2"/>
      <c r="AU212" s="2"/>
      <c r="AV212" s="2"/>
      <c r="AX212" s="2"/>
      <c r="AY212" s="2"/>
      <c r="AZ212" s="2"/>
      <c r="BA212" s="2"/>
      <c r="BB212" s="2"/>
      <c r="BC212" s="2"/>
      <c r="BD212" s="2"/>
      <c r="BE212" s="2"/>
      <c r="BF212" s="2"/>
      <c r="BG212" s="2"/>
      <c r="BH212" s="2"/>
      <c r="BI212" s="2"/>
      <c r="BL212" s="2"/>
      <c r="BM212" s="2"/>
    </row>
    <row r="213" spans="6:65" s="123" customFormat="1" hidden="1">
      <c r="F213" s="126"/>
      <c r="G213" s="127" t="s">
        <v>56</v>
      </c>
      <c r="H213" s="127" t="s">
        <v>69</v>
      </c>
      <c r="I213" s="126" t="s">
        <v>58</v>
      </c>
      <c r="J213" s="126" t="s">
        <v>58</v>
      </c>
      <c r="K213" s="127" t="s">
        <v>59</v>
      </c>
      <c r="L213" s="126" t="s">
        <v>60</v>
      </c>
      <c r="M213" s="126" t="s">
        <v>61</v>
      </c>
      <c r="N213" s="126" t="s">
        <v>62</v>
      </c>
      <c r="O213" s="126"/>
      <c r="P213" s="126"/>
      <c r="Q213" s="126"/>
      <c r="R213" s="126"/>
      <c r="S213" s="126"/>
      <c r="T213" s="126"/>
      <c r="V213" s="126"/>
      <c r="W213" s="127" t="s">
        <v>56</v>
      </c>
      <c r="X213" s="127" t="s">
        <v>69</v>
      </c>
      <c r="Y213" s="126" t="s">
        <v>58</v>
      </c>
      <c r="Z213" s="126" t="s">
        <v>58</v>
      </c>
      <c r="AA213" s="127" t="s">
        <v>59</v>
      </c>
      <c r="AB213" s="126" t="s">
        <v>60</v>
      </c>
      <c r="AC213" s="126" t="s">
        <v>61</v>
      </c>
      <c r="AD213" s="126" t="s">
        <v>62</v>
      </c>
      <c r="AE213" s="126"/>
      <c r="AF213" s="126"/>
      <c r="AG213" s="126"/>
      <c r="AH213" s="126"/>
      <c r="AI213" s="126"/>
      <c r="AJ213" s="126"/>
      <c r="AK213" s="127" t="s">
        <v>56</v>
      </c>
      <c r="AL213" s="127" t="s">
        <v>69</v>
      </c>
      <c r="AM213" s="126" t="s">
        <v>58</v>
      </c>
      <c r="AN213" s="126" t="s">
        <v>58</v>
      </c>
      <c r="AO213" s="127" t="s">
        <v>59</v>
      </c>
      <c r="AP213" s="126" t="s">
        <v>60</v>
      </c>
      <c r="AQ213" s="126" t="s">
        <v>61</v>
      </c>
      <c r="AR213" s="126" t="s">
        <v>62</v>
      </c>
      <c r="AS213" s="126"/>
      <c r="AT213" s="126"/>
      <c r="AU213" s="126"/>
      <c r="AV213" s="126"/>
      <c r="AX213" s="126"/>
      <c r="AY213" s="127" t="s">
        <v>56</v>
      </c>
      <c r="AZ213" s="127" t="s">
        <v>69</v>
      </c>
      <c r="BA213" s="126" t="s">
        <v>58</v>
      </c>
      <c r="BB213" s="126" t="s">
        <v>58</v>
      </c>
      <c r="BC213" s="127" t="s">
        <v>59</v>
      </c>
      <c r="BD213" s="126" t="s">
        <v>60</v>
      </c>
      <c r="BE213" s="126" t="s">
        <v>61</v>
      </c>
      <c r="BF213" s="126" t="s">
        <v>62</v>
      </c>
      <c r="BG213" s="126"/>
      <c r="BH213" s="126"/>
      <c r="BI213" s="126"/>
      <c r="BL213" s="126"/>
      <c r="BM213" s="126"/>
    </row>
    <row r="214" spans="6:65" s="123" customFormat="1" hidden="1">
      <c r="F214" s="126">
        <v>1</v>
      </c>
      <c r="G214" s="128" t="s">
        <v>63</v>
      </c>
      <c r="H214" s="14">
        <f>IF(I197=1,0.20237, IF(I197=2, 0.614, IF(I197=3,0.304, IF(I197=4,0.189, IF(I197=5, 0.128, IF(I197=6, 0.096, IF(I197=7, 0.096, IF(I197=8, 0.096, IF(I197=9, 0.096,"")))))))))</f>
        <v>0.20236999999999999</v>
      </c>
      <c r="I214" s="128">
        <f>IF((J$11=G214),F214,"")</f>
        <v>1</v>
      </c>
      <c r="J214" s="128">
        <f>IFERROR(SMALL(I$214:I$216,F214),"")</f>
        <v>1</v>
      </c>
      <c r="K214" s="128">
        <v>70</v>
      </c>
      <c r="L214" s="3">
        <f>IF(J$214=F214,J$13*H214*12919)</f>
        <v>130720901.5</v>
      </c>
      <c r="M214" s="3">
        <f>IF(J$214=F214,J$14*H214*12919)</f>
        <v>0</v>
      </c>
      <c r="N214" s="3">
        <f>((((L214-M214)/1000)*0.000001)*J$7)</f>
        <v>0.13072090150000001</v>
      </c>
      <c r="O214" s="126" t="s">
        <v>64</v>
      </c>
      <c r="P214" s="126"/>
      <c r="Q214" s="126"/>
      <c r="R214" s="126"/>
      <c r="S214" s="126"/>
      <c r="T214" s="126"/>
      <c r="V214" s="126">
        <v>1</v>
      </c>
      <c r="W214" s="128" t="s">
        <v>63</v>
      </c>
      <c r="X214" s="126">
        <f>IF(Y197=1,0.20237, IF(Y197=2, 0.614, IF(Y197=3,0.304, IF(Y197=4,0.189, IF(Y197=5, 0.128, IF(Y197=6, 0.096, IF(Y197=7, 0.096, IF(Y197=8, 0.096, IF(Y197=9, 0.096,"")))))))))</f>
        <v>0.20236999999999999</v>
      </c>
      <c r="Y214" s="128">
        <f>IF((K$11=W214),V214,"")</f>
        <v>1</v>
      </c>
      <c r="Z214" s="128">
        <f>IFERROR(SMALL(Y$214:Y$215,V214),"")</f>
        <v>1</v>
      </c>
      <c r="AA214" s="128">
        <v>70</v>
      </c>
      <c r="AB214" s="3">
        <f>IF(Z$214=V214,K$13*X214*12919)</f>
        <v>130720901.5</v>
      </c>
      <c r="AC214" s="3">
        <f>IF(Z$214=V214,K$14*X214*12919)</f>
        <v>0</v>
      </c>
      <c r="AD214" s="3">
        <f>(((AB214-AC214)/1000)*0.000001)*K$7</f>
        <v>0.13072090150000001</v>
      </c>
      <c r="AE214" s="126" t="s">
        <v>64</v>
      </c>
      <c r="AF214" s="126"/>
      <c r="AG214" s="126"/>
      <c r="AH214" s="126"/>
      <c r="AI214" s="126"/>
      <c r="AJ214" s="126">
        <v>1</v>
      </c>
      <c r="AK214" s="128" t="s">
        <v>63</v>
      </c>
      <c r="AL214" s="126">
        <f>IF(AM197=1,0.20237, IF(AM197=2, 0.614, IF(AM197=3,0.304, IF(AM197=4,0.189, IF(AM197=5, 0.128, IF(AM197=6, 0.096, IF(AM197=7, 0.096, IF(AM197=8, 0.096, IF(AM197=9, 0.096,"")))))))))</f>
        <v>0.20236999999999999</v>
      </c>
      <c r="AM214" s="128">
        <f>IF((L$11=AK214),AJ214,"")</f>
        <v>1</v>
      </c>
      <c r="AN214" s="128">
        <f>IFERROR(SMALL(AM$214:AM$215,AJ214),"")</f>
        <v>1</v>
      </c>
      <c r="AO214" s="128">
        <v>70</v>
      </c>
      <c r="AP214" s="3">
        <f>IF(AN$214=AJ214,L$13*AL214*12919)</f>
        <v>130720901.5</v>
      </c>
      <c r="AQ214" s="3">
        <f>IF(AN$214=AJ214,L$14*AL214*12919)</f>
        <v>0</v>
      </c>
      <c r="AR214" s="3">
        <f>(((AP214-AQ214)/1000)*0.000001)*L$7</f>
        <v>0.13072090150000001</v>
      </c>
      <c r="AS214" s="126" t="s">
        <v>64</v>
      </c>
      <c r="AT214" s="126"/>
      <c r="AU214" s="126"/>
      <c r="AV214" s="126"/>
      <c r="AX214" s="126">
        <v>1</v>
      </c>
      <c r="AY214" s="128" t="s">
        <v>63</v>
      </c>
      <c r="AZ214" s="126">
        <f>IF(BA197=1,0.20237, IF(BA197=2, 0.614, IF(BA197=3,0.304, IF(BA197=4,0.189, IF(BA197=5, 0.128, IF(BA197=6, 0.096, IF(BA197=7, 0.096, IF(BA197=8, 0.096, IF(BA197=9, 0.096,"")))))))))</f>
        <v>0.20236999999999999</v>
      </c>
      <c r="BA214" s="128">
        <f>IF((M$11=AY214),AX214,"")</f>
        <v>1</v>
      </c>
      <c r="BB214" s="128">
        <f>IFERROR(SMALL(BA$214:BA$215,AX214),"")</f>
        <v>1</v>
      </c>
      <c r="BC214" s="128">
        <v>70</v>
      </c>
      <c r="BD214" s="3">
        <f>IF(BB$214=AX214,M$13*AZ214*12919)</f>
        <v>130720901.5</v>
      </c>
      <c r="BE214" s="3">
        <f>IF(BB$214=AX214,M$14*AZ214*12919)</f>
        <v>0</v>
      </c>
      <c r="BF214" s="3">
        <f>(((BD214-BE214)/1000)*0.000001)*M$7</f>
        <v>0.13072090150000001</v>
      </c>
      <c r="BG214" s="126" t="s">
        <v>64</v>
      </c>
      <c r="BH214" s="126"/>
      <c r="BI214" s="126"/>
      <c r="BL214" s="126"/>
      <c r="BM214" s="126"/>
    </row>
    <row r="215" spans="6:65" s="123" customFormat="1" hidden="1">
      <c r="F215" s="126">
        <v>2</v>
      </c>
      <c r="G215" s="128" t="s">
        <v>106</v>
      </c>
      <c r="H215" s="14">
        <f>IF(I197=1,0.06987, IF(I197=2, 0.141, IF(I197=3, 0.149, IF(I197=4, 0.094, IF(I197=5, 0.035, IF(I197=6, 0.035, IF(I197=7, 0.035, IF(I197=8, 0.035, IF(I197=9, 0.035,"")))))))))</f>
        <v>6.9870000000000002E-2</v>
      </c>
      <c r="I215" s="128" t="str">
        <f>IF((J$11=G215),F215,"")</f>
        <v/>
      </c>
      <c r="J215" s="128" t="str">
        <f>IFERROR(SMALL(I$214:I$216,F215),"")</f>
        <v/>
      </c>
      <c r="K215" s="128">
        <v>80</v>
      </c>
      <c r="L215" s="3" t="b">
        <f>IF(J$214=F215,J$13*H215*20787)</f>
        <v>0</v>
      </c>
      <c r="M215" s="3" t="b">
        <f>IF(J$214=F215,J$14*H215*20787)</f>
        <v>0</v>
      </c>
      <c r="N215" s="3">
        <f>((((L215-M215)/1000)*0.000001)*J$7)</f>
        <v>0</v>
      </c>
      <c r="O215" s="126" t="s">
        <v>64</v>
      </c>
      <c r="P215" s="126"/>
      <c r="Q215" s="126"/>
      <c r="R215" s="126"/>
      <c r="S215" s="126"/>
      <c r="T215" s="126"/>
      <c r="V215" s="126">
        <v>2</v>
      </c>
      <c r="W215" s="128" t="s">
        <v>106</v>
      </c>
      <c r="X215" s="126">
        <f>IF(Y197=1,0.06987, IF(Y197=2, 0.141, IF(Y197=3, 0.149, IF(Y197=4, 0.094, IF(Y197=5, 0.035, IF(Y197=6, 0.035, IF(Y197=7, 0.035, IF(Y197=8, 0.035, IF(Y197=9, 0.035,"")))))))))</f>
        <v>6.9870000000000002E-2</v>
      </c>
      <c r="Y215" s="128" t="str">
        <f>IF((K$11=W215),V215,"")</f>
        <v/>
      </c>
      <c r="Z215" s="128" t="str">
        <f>IFERROR(SMALL(Y$210:Y$211,V215),"")</f>
        <v/>
      </c>
      <c r="AA215" s="128">
        <v>80</v>
      </c>
      <c r="AB215" s="3" t="b">
        <f>IF(Z$214=V215,K$13*X215*20787)</f>
        <v>0</v>
      </c>
      <c r="AC215" s="3" t="b">
        <f>IF(Z$214=V215,K$14*X215*20787)</f>
        <v>0</v>
      </c>
      <c r="AD215" s="3">
        <f>(((AB215-AC215)/1000)*0.000001)*K$7</f>
        <v>0</v>
      </c>
      <c r="AE215" s="126" t="s">
        <v>64</v>
      </c>
      <c r="AF215" s="126"/>
      <c r="AG215" s="126"/>
      <c r="AH215" s="126"/>
      <c r="AI215" s="126"/>
      <c r="AJ215" s="126">
        <v>2</v>
      </c>
      <c r="AK215" s="128" t="s">
        <v>106</v>
      </c>
      <c r="AL215" s="126">
        <f>IF(AM197=1,0.06987, IF(AM197=2, 0.141, IF(AM197=3, 0.149, IF(AM197=4, 0.094, IF(AM197=5, 0.035, IF(AM197=6, 0.035, IF(AM197=7, 0.035, IF(AM197=8, 0.035, IF(AM197=9, 0.035,"")))))))))</f>
        <v>6.9870000000000002E-2</v>
      </c>
      <c r="AM215" s="128" t="str">
        <f>IF((L$11=AK215),AJ215,"")</f>
        <v/>
      </c>
      <c r="AN215" s="128" t="str">
        <f>IFERROR(SMALL(AM$210:AM$211,AJ215),"")</f>
        <v/>
      </c>
      <c r="AO215" s="128">
        <v>80</v>
      </c>
      <c r="AP215" s="3" t="b">
        <f>IF(AN$214=AJ215,L$13*AL215*20787)</f>
        <v>0</v>
      </c>
      <c r="AQ215" s="3" t="b">
        <f>IF(AN$214=AJ215,L$14*AL215*20787)</f>
        <v>0</v>
      </c>
      <c r="AR215" s="3">
        <f>(((AP215-AQ215)/1000)*0.000001)*L$7</f>
        <v>0</v>
      </c>
      <c r="AS215" s="126" t="s">
        <v>64</v>
      </c>
      <c r="AT215" s="126"/>
      <c r="AU215" s="126"/>
      <c r="AV215" s="126"/>
      <c r="AX215" s="126">
        <v>2</v>
      </c>
      <c r="AY215" s="128" t="s">
        <v>106</v>
      </c>
      <c r="AZ215" s="126">
        <f>IF(BA197=1,0.06987, IF(BA197=2, 0.141, IF(BA197=3, 0.149, IF(BA197=4, 0.094, IF(BA197=5, 0.035, IF(BA197=6, 0.035, IF(BA197=7, 0.035, IF(BA197=8, 0.035, IF(BA197=9, 0.035,"")))))))))</f>
        <v>6.9870000000000002E-2</v>
      </c>
      <c r="BA215" s="128" t="str">
        <f>IF((M$11=AY215),AX215,"")</f>
        <v/>
      </c>
      <c r="BB215" s="128" t="str">
        <f>IFERROR(SMALL(BA$210:BA$211,AX215),"")</f>
        <v/>
      </c>
      <c r="BC215" s="128">
        <v>80</v>
      </c>
      <c r="BD215" s="3" t="b">
        <f>IF(BB$214=AX215,M$13*AZ215*20787)</f>
        <v>0</v>
      </c>
      <c r="BE215" s="3" t="b">
        <f>IF(BB$214=AX215,M$14*AZ215*20787)</f>
        <v>0</v>
      </c>
      <c r="BF215" s="3">
        <f>(((BD215-BE215)/1000)*0.000001)*M$7</f>
        <v>0</v>
      </c>
      <c r="BG215" s="126" t="s">
        <v>64</v>
      </c>
      <c r="BH215" s="126"/>
      <c r="BI215" s="126"/>
      <c r="BL215" s="126"/>
      <c r="BM215" s="126"/>
    </row>
    <row r="216" spans="6:65" s="123" customFormat="1" hidden="1">
      <c r="F216" s="126">
        <v>3</v>
      </c>
      <c r="G216" s="133" t="s">
        <v>13</v>
      </c>
      <c r="H216" s="126"/>
      <c r="I216" s="126"/>
      <c r="J216" s="126"/>
      <c r="K216" s="126"/>
      <c r="L216" s="126"/>
      <c r="M216" s="126"/>
      <c r="N216" s="126"/>
      <c r="O216" s="126"/>
      <c r="P216" s="126"/>
      <c r="Q216" s="126"/>
      <c r="R216" s="126"/>
      <c r="S216" s="126"/>
      <c r="T216" s="126"/>
      <c r="V216" s="126"/>
      <c r="W216" s="126"/>
      <c r="X216" s="126"/>
      <c r="Y216" s="126"/>
      <c r="Z216" s="126"/>
      <c r="AA216" s="126"/>
      <c r="AB216" s="126"/>
      <c r="AC216" s="126"/>
      <c r="AD216" s="126"/>
      <c r="AE216" s="126"/>
      <c r="AF216" s="126"/>
      <c r="AG216" s="126"/>
      <c r="AH216" s="126"/>
      <c r="AI216" s="126"/>
      <c r="AJ216" s="126"/>
      <c r="AK216" s="126"/>
      <c r="AL216" s="126"/>
      <c r="AM216" s="126"/>
      <c r="AN216" s="126"/>
      <c r="AO216" s="126"/>
      <c r="AP216" s="126"/>
      <c r="AQ216" s="126"/>
      <c r="AR216" s="126"/>
      <c r="AS216" s="126"/>
      <c r="AT216" s="126"/>
      <c r="AU216" s="126"/>
      <c r="AV216" s="126"/>
      <c r="AX216" s="126"/>
      <c r="AY216" s="126"/>
      <c r="AZ216" s="126"/>
      <c r="BA216" s="126"/>
      <c r="BB216" s="126"/>
      <c r="BC216" s="126"/>
      <c r="BD216" s="126"/>
      <c r="BE216" s="126"/>
      <c r="BF216" s="126"/>
      <c r="BG216" s="126"/>
      <c r="BH216" s="126"/>
      <c r="BI216" s="126"/>
      <c r="BL216" s="126"/>
      <c r="BM216" s="126"/>
    </row>
    <row r="217" spans="6:65" hidden="1">
      <c r="F217" s="2"/>
      <c r="G217" s="17"/>
      <c r="H217" s="2"/>
      <c r="I217" s="2"/>
      <c r="J217" s="2"/>
      <c r="K217" s="2"/>
      <c r="L217" s="2"/>
      <c r="M217" s="2"/>
      <c r="N217" s="2"/>
      <c r="O217" s="2"/>
      <c r="P217" s="2"/>
      <c r="Q217" s="2"/>
      <c r="R217" s="2"/>
      <c r="S217" s="2"/>
      <c r="T217" s="2"/>
      <c r="V217" s="2"/>
      <c r="W217" s="2"/>
      <c r="X217" s="2"/>
      <c r="Y217" s="2"/>
      <c r="Z217" s="2"/>
      <c r="AA217" s="2"/>
      <c r="AB217" s="2"/>
      <c r="AC217" s="2"/>
      <c r="AD217" s="2"/>
      <c r="AE217" s="2"/>
      <c r="AF217" s="2"/>
      <c r="AG217" s="2"/>
      <c r="AH217" s="2"/>
      <c r="AI217" s="2"/>
      <c r="AJ217" s="2"/>
      <c r="AK217" s="2"/>
      <c r="AL217" s="2"/>
      <c r="AM217" s="2"/>
      <c r="AN217" s="2"/>
      <c r="AO217" s="2"/>
      <c r="AP217" s="2"/>
      <c r="AQ217" s="2"/>
      <c r="AR217" s="2"/>
      <c r="AS217" s="2"/>
      <c r="AT217" s="2"/>
      <c r="AU217" s="2"/>
      <c r="AV217" s="2"/>
      <c r="AX217" s="2"/>
      <c r="AY217" s="2"/>
      <c r="AZ217" s="2"/>
      <c r="BA217" s="2"/>
      <c r="BB217" s="2"/>
      <c r="BC217" s="2"/>
      <c r="BD217" s="2"/>
      <c r="BE217" s="2"/>
      <c r="BF217" s="2"/>
      <c r="BG217" s="2"/>
      <c r="BH217" s="2"/>
      <c r="BI217" s="2"/>
      <c r="BL217" s="2"/>
      <c r="BM217" s="2"/>
    </row>
    <row r="218" spans="6:65" hidden="1">
      <c r="F218" s="2"/>
      <c r="G218" s="17"/>
      <c r="H218" s="2"/>
      <c r="I218" s="2"/>
      <c r="J218" s="2"/>
      <c r="K218" s="2"/>
      <c r="L218" s="2"/>
      <c r="M218" s="2"/>
      <c r="N218" s="2"/>
      <c r="O218" s="2"/>
      <c r="P218" s="2"/>
      <c r="Q218" s="2"/>
      <c r="R218" s="2"/>
      <c r="S218" s="2"/>
      <c r="T218" s="2"/>
      <c r="V218" s="2"/>
      <c r="W218" s="2"/>
      <c r="X218" s="2"/>
      <c r="Y218" s="2"/>
      <c r="Z218" s="2"/>
      <c r="AA218" s="2"/>
      <c r="AB218" s="2"/>
      <c r="AC218" s="2"/>
      <c r="AD218" s="2"/>
      <c r="AE218" s="2"/>
      <c r="AF218" s="2"/>
      <c r="AG218" s="2"/>
      <c r="AH218" s="2"/>
      <c r="AI218" s="2"/>
      <c r="AJ218" s="2"/>
      <c r="AK218" s="2"/>
      <c r="AL218" s="2"/>
      <c r="AM218" s="2"/>
      <c r="AN218" s="2"/>
      <c r="AO218" s="2"/>
      <c r="AP218" s="2"/>
      <c r="AQ218" s="2"/>
      <c r="AR218" s="2"/>
      <c r="AS218" s="2"/>
      <c r="AT218" s="2"/>
      <c r="AU218" s="2"/>
      <c r="AV218" s="2"/>
      <c r="AX218" s="2"/>
      <c r="AY218" s="2"/>
      <c r="AZ218" s="2"/>
      <c r="BA218" s="2"/>
      <c r="BB218" s="2"/>
      <c r="BC218" s="2"/>
      <c r="BD218" s="2"/>
      <c r="BE218" s="2"/>
      <c r="BF218" s="2"/>
      <c r="BG218" s="2"/>
      <c r="BH218" s="2"/>
      <c r="BI218" s="2"/>
      <c r="BL218" s="2"/>
      <c r="BM218" s="2"/>
    </row>
    <row r="219" spans="6:65" hidden="1">
      <c r="F219" s="2"/>
      <c r="G219" s="12" t="s">
        <v>56</v>
      </c>
      <c r="H219" s="12" t="s">
        <v>70</v>
      </c>
      <c r="I219" s="2" t="s">
        <v>58</v>
      </c>
      <c r="J219" s="2" t="s">
        <v>58</v>
      </c>
      <c r="K219" s="12" t="s">
        <v>59</v>
      </c>
      <c r="L219" s="2" t="s">
        <v>60</v>
      </c>
      <c r="M219" s="2" t="s">
        <v>61</v>
      </c>
      <c r="N219" s="2" t="s">
        <v>62</v>
      </c>
      <c r="O219" s="2"/>
      <c r="P219" s="2"/>
      <c r="Q219" s="2"/>
      <c r="R219" s="2"/>
      <c r="S219" s="2"/>
      <c r="T219" s="2"/>
      <c r="V219" s="2"/>
      <c r="W219" s="12" t="s">
        <v>56</v>
      </c>
      <c r="X219" s="12" t="s">
        <v>70</v>
      </c>
      <c r="Y219" s="2" t="s">
        <v>58</v>
      </c>
      <c r="Z219" s="2" t="s">
        <v>58</v>
      </c>
      <c r="AA219" s="12" t="s">
        <v>59</v>
      </c>
      <c r="AB219" s="2" t="s">
        <v>60</v>
      </c>
      <c r="AC219" s="2" t="s">
        <v>61</v>
      </c>
      <c r="AD219" s="2" t="s">
        <v>62</v>
      </c>
      <c r="AE219" s="2"/>
      <c r="AF219" s="2"/>
      <c r="AG219" s="2"/>
      <c r="AH219" s="2"/>
      <c r="AI219" s="2"/>
      <c r="AJ219" s="2"/>
      <c r="AK219" s="12" t="s">
        <v>56</v>
      </c>
      <c r="AL219" s="12" t="s">
        <v>70</v>
      </c>
      <c r="AM219" s="2" t="s">
        <v>58</v>
      </c>
      <c r="AN219" s="2" t="s">
        <v>58</v>
      </c>
      <c r="AO219" s="12" t="s">
        <v>59</v>
      </c>
      <c r="AP219" s="2" t="s">
        <v>60</v>
      </c>
      <c r="AQ219" s="2" t="s">
        <v>61</v>
      </c>
      <c r="AR219" s="2" t="s">
        <v>62</v>
      </c>
      <c r="AS219" s="2"/>
      <c r="AT219" s="2"/>
      <c r="AU219" s="2"/>
      <c r="AV219" s="2"/>
      <c r="AX219" s="2"/>
      <c r="AY219" s="12" t="s">
        <v>56</v>
      </c>
      <c r="AZ219" s="12" t="s">
        <v>70</v>
      </c>
      <c r="BA219" s="2" t="s">
        <v>58</v>
      </c>
      <c r="BB219" s="2" t="s">
        <v>58</v>
      </c>
      <c r="BC219" s="12" t="s">
        <v>59</v>
      </c>
      <c r="BD219" s="2" t="s">
        <v>60</v>
      </c>
      <c r="BE219" s="2" t="s">
        <v>61</v>
      </c>
      <c r="BF219" s="2" t="s">
        <v>62</v>
      </c>
      <c r="BG219" s="2"/>
      <c r="BH219" s="2"/>
      <c r="BI219" s="2"/>
      <c r="BL219" s="2"/>
      <c r="BM219" s="2"/>
    </row>
    <row r="220" spans="6:65" hidden="1">
      <c r="F220" s="2">
        <v>1</v>
      </c>
      <c r="G220" s="3" t="s">
        <v>63</v>
      </c>
      <c r="H220" s="14">
        <f>IF(I185=1,0.15525, IF(I185=2, 0.563, IF(I185=3, 0.23, IF(I185=4, 0.129, IF(I185=5, 0.064, IF(I185=6, 0.064, IF(I185=7, 0.064, IF(I185=8, 0.064, IF(I185=9, 0.064,"")))))))))</f>
        <v>0.56299999999999994</v>
      </c>
      <c r="I220" s="3" t="str">
        <f>IF((J$9=G220),F220,"")</f>
        <v/>
      </c>
      <c r="J220" s="3">
        <f>IFERROR(SMALL(I$220:I$221,F220),"")</f>
        <v>2</v>
      </c>
      <c r="K220" s="3">
        <v>70</v>
      </c>
      <c r="L220" s="3" t="b">
        <f>IF(J$220=F220,J$13*H220*12919)</f>
        <v>0</v>
      </c>
      <c r="M220" s="3" t="b">
        <f>IF(J$220=F220,J$14*H220*12919)</f>
        <v>0</v>
      </c>
      <c r="N220" s="3">
        <f>((((L220-M220)/1000)*0.000001)*J$7)</f>
        <v>0</v>
      </c>
      <c r="O220" s="2" t="s">
        <v>64</v>
      </c>
      <c r="P220" s="2"/>
      <c r="Q220" s="2"/>
      <c r="R220" s="2"/>
      <c r="S220" s="2"/>
      <c r="T220" s="2"/>
      <c r="V220" s="2">
        <v>1</v>
      </c>
      <c r="W220" s="3" t="s">
        <v>63</v>
      </c>
      <c r="X220" s="14">
        <f>IF(Y186=1,0.15525, IF(Y186=2, 0.563, IF(Y186=3, 0.23, IF(Y186=4, 0.129, IF(Y186=5, 0.064, IF(Y186=6, 0.064, IF(Y186=7, 0.064, IF(Y186=8, 0.064, IF(Y186=9, 0.064,"")))))))))</f>
        <v>0.56299999999999994</v>
      </c>
      <c r="Y220" s="3" t="str">
        <f>IF((K$9=W220),V220,"")</f>
        <v/>
      </c>
      <c r="Z220" s="3">
        <f>IFERROR(SMALL(Y$220:Y$221,V220),"")</f>
        <v>2</v>
      </c>
      <c r="AA220" s="3">
        <v>70</v>
      </c>
      <c r="AB220" s="3" t="b">
        <f>IF(Z$220=V220,K$13*X220*12919)</f>
        <v>0</v>
      </c>
      <c r="AC220" s="3" t="b">
        <f>IF(Z$220=V220,K$14*X220*12919)</f>
        <v>0</v>
      </c>
      <c r="AD220" s="3">
        <f>((((AB220-AC220)/1000)*0.000001)*K$7)</f>
        <v>0</v>
      </c>
      <c r="AE220" s="2" t="s">
        <v>64</v>
      </c>
      <c r="AF220" s="2"/>
      <c r="AG220" s="2"/>
      <c r="AH220" s="2"/>
      <c r="AI220" s="2"/>
      <c r="AJ220" s="2">
        <v>1</v>
      </c>
      <c r="AK220" s="3" t="s">
        <v>63</v>
      </c>
      <c r="AL220" s="14">
        <f>IF(AM186=1,0.15525, IF(AM186=2, 0.563, IF(AM186=3, 0.23, IF(AM186=4, 0.129, IF(AM186=5, 0.064, IF(AM186=6, 0.064, IF(AM186=7, 0.064, IF(AM186=8, 0.064, IF(AM186=9, 0.064,"")))))))))</f>
        <v>0.56299999999999994</v>
      </c>
      <c r="AM220" s="3" t="str">
        <f>IF((L$9=AK220),AJ220,"")</f>
        <v/>
      </c>
      <c r="AN220" s="3">
        <f>IFERROR(SMALL(AM$220:AM$221,AJ220),"")</f>
        <v>2</v>
      </c>
      <c r="AO220" s="3">
        <v>70</v>
      </c>
      <c r="AP220" s="3" t="b">
        <f>IF(AN$220=AJ220,L$13*AL220*12919)</f>
        <v>0</v>
      </c>
      <c r="AQ220" s="3" t="b">
        <f>IF(AN$220=AJ220,L$14*AL220*12919)</f>
        <v>0</v>
      </c>
      <c r="AR220" s="3">
        <f>((((AP220-AQ220)/1000)*0.000001)*L$7)</f>
        <v>0</v>
      </c>
      <c r="AS220" s="2" t="s">
        <v>64</v>
      </c>
      <c r="AT220" s="2"/>
      <c r="AU220" s="2"/>
      <c r="AV220" s="2"/>
      <c r="AX220" s="2">
        <v>1</v>
      </c>
      <c r="AY220" s="3" t="s">
        <v>63</v>
      </c>
      <c r="AZ220" s="14">
        <f>IF(BA186=1,0.15525, IF(BA186=2, 0.563, IF(BA186=3, 0.23, IF(BA186=4, 0.129, IF(BA186=5, 0.064, IF(BA186=6, 0.064, IF(BA186=7, 0.064, IF(BA186=8, 0.064, IF(BA186=9, 0.064,"")))))))))</f>
        <v>0.56299999999999994</v>
      </c>
      <c r="BA220" s="3" t="str">
        <f>IF((M$9=AY220),AX220,"")</f>
        <v/>
      </c>
      <c r="BB220" s="3">
        <f>IFERROR(SMALL(BA$220:BA$221,AX220),"")</f>
        <v>2</v>
      </c>
      <c r="BC220" s="3">
        <v>70</v>
      </c>
      <c r="BD220" s="3" t="b">
        <f>IF(BB$220=AX220,M$13*AZ220*12919)</f>
        <v>0</v>
      </c>
      <c r="BE220" s="3" t="b">
        <f>IF(BB$220=AX220,M$14*AZ220*12919)</f>
        <v>0</v>
      </c>
      <c r="BF220" s="3">
        <f>((((BD220-BE220)/1000)*0.000001)*M$7)</f>
        <v>0</v>
      </c>
      <c r="BG220" s="2" t="s">
        <v>64</v>
      </c>
      <c r="BH220" s="2"/>
      <c r="BI220" s="2"/>
      <c r="BL220" s="2"/>
      <c r="BM220" s="2"/>
    </row>
    <row r="221" spans="6:65" hidden="1">
      <c r="F221" s="2">
        <v>2</v>
      </c>
      <c r="G221" s="3" t="s">
        <v>106</v>
      </c>
      <c r="H221" s="14">
        <f>IF(I185=1,0.89437, IF(I185=2, 1.22, IF(I185=3, 1.22, IF(I185=4, 1.03, IF(I185=5, 0.831, IF(I185=6, 1.15, IF(I185=7, 0.96, IF(I185=8, 0.496, IF(I185=9, 0.248,"")))))))))</f>
        <v>1.22</v>
      </c>
      <c r="I221" s="3">
        <f>IF((J$9=G221),F221,"")</f>
        <v>2</v>
      </c>
      <c r="J221" s="3" t="str">
        <f>IFERROR(SMALL(I$220:I$221,F221),"")</f>
        <v/>
      </c>
      <c r="K221" s="3">
        <v>80</v>
      </c>
      <c r="L221" s="3">
        <f>IF(J$220=F221,J$13*H221*20787)</f>
        <v>1268007000</v>
      </c>
      <c r="M221" s="3">
        <f>IF(J$220=F221,J$14*H221*20787)</f>
        <v>0</v>
      </c>
      <c r="N221" s="3">
        <f>(((L221-M221)/1000)*0.000001)*J$7</f>
        <v>1.2680069999999999</v>
      </c>
      <c r="O221" s="2" t="s">
        <v>64</v>
      </c>
      <c r="P221" s="2"/>
      <c r="Q221" s="2"/>
      <c r="R221" s="2"/>
      <c r="S221" s="2"/>
      <c r="T221" s="2"/>
      <c r="V221" s="2">
        <v>2</v>
      </c>
      <c r="W221" s="3" t="s">
        <v>106</v>
      </c>
      <c r="X221" s="14">
        <f>IF(Y186=1,0.89437, IF(Y186=2, 1.22, IF(Y186=3, 1.22, IF(Y186=4, 1.03, IF(Y186=5, 0.831, IF(Y186=6, 1.15, IF(Y186=7, 0.96, IF(Y186=8, 0.496, IF(Y186=9, 0.248,"")))))))))</f>
        <v>1.22</v>
      </c>
      <c r="Y221" s="3">
        <f>IF((K$9=W221),V221,"")</f>
        <v>2</v>
      </c>
      <c r="Z221" s="3" t="str">
        <f>IFERROR(SMALL(Y$220:Y$221,V221),"")</f>
        <v/>
      </c>
      <c r="AA221" s="3">
        <v>80</v>
      </c>
      <c r="AB221" s="3">
        <f>IF(Z$220=V221,K$13*X221*20787)</f>
        <v>1268007000</v>
      </c>
      <c r="AC221" s="3">
        <f>IF(Z$220=V221,K$14*X221*20787)</f>
        <v>0</v>
      </c>
      <c r="AD221" s="3">
        <f>(((AB221-AC221)/1000)*0.000001)*K$7</f>
        <v>1.2680069999999999</v>
      </c>
      <c r="AE221" s="2" t="s">
        <v>64</v>
      </c>
      <c r="AF221" s="2"/>
      <c r="AG221" s="2"/>
      <c r="AH221" s="2"/>
      <c r="AI221" s="2"/>
      <c r="AJ221" s="2">
        <v>2</v>
      </c>
      <c r="AK221" s="3" t="s">
        <v>106</v>
      </c>
      <c r="AL221" s="14">
        <f>IF(AM186=1,0.89437, IF(AM186=2, 1.22, IF(AM186=3, 1.22, IF(AM186=4, 1.03, IF(AM186=5, 0.831, IF(AM186=6, 1.15, IF(AM186=7, 0.96, IF(AM186=8, 0.496, IF(AM186=9, 0.248,"")))))))))</f>
        <v>1.22</v>
      </c>
      <c r="AM221" s="3">
        <f>IF((L$9=AK221),AJ221,"")</f>
        <v>2</v>
      </c>
      <c r="AN221" s="3" t="str">
        <f>IFERROR(SMALL(AM$220:AM$221,AJ221),"")</f>
        <v/>
      </c>
      <c r="AO221" s="3">
        <v>80</v>
      </c>
      <c r="AP221" s="3">
        <f>IF(AN$220=AJ221,L$13*AL221*20787)</f>
        <v>1268007000</v>
      </c>
      <c r="AQ221" s="3">
        <f>IF(AN$220=AJ221,L$14*AL221*20787)</f>
        <v>0</v>
      </c>
      <c r="AR221" s="3">
        <f>(((AP221-AQ221)/1000)*0.000001)*L$7</f>
        <v>1.2680069999999999</v>
      </c>
      <c r="AS221" s="2" t="s">
        <v>64</v>
      </c>
      <c r="AT221" s="2"/>
      <c r="AU221" s="2"/>
      <c r="AV221" s="2"/>
      <c r="AX221" s="2">
        <v>2</v>
      </c>
      <c r="AY221" s="3" t="s">
        <v>106</v>
      </c>
      <c r="AZ221" s="14">
        <f>IF(BA186=1,0.89437, IF(BA186=2, 1.22, IF(BA186=3, 1.22, IF(BA186=4, 1.03, IF(BA186=5, 0.831, IF(BA186=6, 1.15, IF(BA186=7, 0.96, IF(BA186=8, 0.496, IF(BA186=9, 0.248,"")))))))))</f>
        <v>1.22</v>
      </c>
      <c r="BA221" s="3">
        <f>IF((M$9=AY221),AX221,"")</f>
        <v>2</v>
      </c>
      <c r="BB221" s="3" t="str">
        <f>IFERROR(SMALL(BA$220:BA$221,AX221),"")</f>
        <v/>
      </c>
      <c r="BC221" s="3">
        <v>80</v>
      </c>
      <c r="BD221" s="3">
        <f>IF(BB$220=AX221,M$13*AZ221*20787)</f>
        <v>1268007000</v>
      </c>
      <c r="BE221" s="3">
        <f>IF(BB$220=AX221,M$14*AZ221*20787)</f>
        <v>0</v>
      </c>
      <c r="BF221" s="3">
        <f>(((BD221-BE221)/1000)*0.000001)*M$7</f>
        <v>1.2680069999999999</v>
      </c>
      <c r="BG221" s="2" t="s">
        <v>64</v>
      </c>
      <c r="BH221" s="2"/>
      <c r="BI221" s="2"/>
      <c r="BL221" s="2"/>
      <c r="BM221" s="2"/>
    </row>
    <row r="222" spans="6:65" hidden="1">
      <c r="F222" s="2"/>
      <c r="G222" s="2"/>
      <c r="H222" s="2"/>
      <c r="I222" s="2"/>
      <c r="J222" s="2"/>
      <c r="K222" s="2"/>
      <c r="L222" s="2"/>
      <c r="M222" s="2"/>
      <c r="N222" s="2"/>
      <c r="O222" s="2"/>
      <c r="P222" s="2"/>
      <c r="Q222" s="2"/>
      <c r="R222" s="2"/>
      <c r="S222" s="2"/>
      <c r="T222" s="2"/>
      <c r="V222" s="2"/>
      <c r="W222" s="2"/>
      <c r="X222" s="2"/>
      <c r="Y222" s="2"/>
      <c r="Z222" s="2"/>
      <c r="AA222" s="2"/>
      <c r="AB222" s="2"/>
      <c r="AC222" s="2"/>
      <c r="AD222" s="2"/>
      <c r="AE222" s="2"/>
      <c r="AF222" s="2"/>
      <c r="AG222" s="2"/>
      <c r="AH222" s="2"/>
      <c r="AI222" s="2"/>
      <c r="AJ222" s="2"/>
      <c r="AK222" s="2"/>
      <c r="AL222" s="2"/>
      <c r="AM222" s="2"/>
      <c r="AN222" s="2"/>
      <c r="AO222" s="2"/>
      <c r="AP222" s="2"/>
      <c r="AQ222" s="2"/>
      <c r="AR222" s="2"/>
      <c r="AS222" s="2"/>
      <c r="AT222" s="2"/>
      <c r="AU222" s="2"/>
      <c r="AV222" s="2"/>
      <c r="AX222" s="2"/>
      <c r="AY222" s="2"/>
      <c r="AZ222" s="2"/>
      <c r="BA222" s="2"/>
      <c r="BB222" s="2"/>
      <c r="BC222" s="2"/>
      <c r="BD222" s="2"/>
      <c r="BE222" s="2"/>
      <c r="BF222" s="2"/>
      <c r="BG222" s="2"/>
      <c r="BH222" s="2"/>
      <c r="BI222" s="2"/>
      <c r="BL222" s="2"/>
      <c r="BM222" s="2"/>
    </row>
    <row r="223" spans="6:65" hidden="1">
      <c r="F223" s="2"/>
      <c r="G223" s="2"/>
      <c r="H223" s="2"/>
      <c r="I223" s="2"/>
      <c r="J223" s="2"/>
      <c r="K223" s="2"/>
      <c r="L223" s="2"/>
      <c r="M223" s="2"/>
      <c r="N223" s="2"/>
      <c r="O223" s="2"/>
      <c r="P223" s="2"/>
      <c r="Q223" s="2"/>
      <c r="R223" s="2"/>
      <c r="S223" s="2"/>
      <c r="T223" s="2"/>
      <c r="V223" s="2"/>
      <c r="W223" s="2"/>
      <c r="X223" s="2"/>
      <c r="Y223" s="2"/>
      <c r="Z223" s="2"/>
      <c r="AA223" s="2"/>
      <c r="AB223" s="2"/>
      <c r="AC223" s="2"/>
      <c r="AD223" s="2"/>
      <c r="AE223" s="2"/>
      <c r="AF223" s="2"/>
      <c r="AG223" s="2"/>
      <c r="AH223" s="2"/>
      <c r="AI223" s="2"/>
      <c r="AJ223" s="2"/>
      <c r="AK223" s="2"/>
      <c r="AL223" s="2"/>
      <c r="AM223" s="2"/>
      <c r="AN223" s="2"/>
      <c r="AO223" s="2"/>
      <c r="AP223" s="2"/>
      <c r="AQ223" s="2"/>
      <c r="AR223" s="2"/>
      <c r="AS223" s="2"/>
      <c r="AT223" s="2"/>
      <c r="AU223" s="2"/>
      <c r="AV223" s="2"/>
      <c r="AX223" s="2"/>
      <c r="AY223" s="2"/>
      <c r="AZ223" s="2"/>
      <c r="BA223" s="2"/>
      <c r="BB223" s="2"/>
      <c r="BC223" s="2"/>
      <c r="BD223" s="2"/>
      <c r="BE223" s="2"/>
      <c r="BF223" s="2"/>
      <c r="BG223" s="2"/>
      <c r="BH223" s="2"/>
      <c r="BI223" s="2"/>
      <c r="BL223" s="2"/>
      <c r="BM223" s="2"/>
    </row>
    <row r="224" spans="6:65" s="123" customFormat="1" hidden="1">
      <c r="F224" s="126"/>
      <c r="G224" s="127" t="s">
        <v>56</v>
      </c>
      <c r="H224" s="127" t="s">
        <v>70</v>
      </c>
      <c r="I224" s="126" t="s">
        <v>58</v>
      </c>
      <c r="J224" s="126" t="s">
        <v>58</v>
      </c>
      <c r="K224" s="127" t="s">
        <v>59</v>
      </c>
      <c r="L224" s="126" t="s">
        <v>60</v>
      </c>
      <c r="M224" s="126" t="s">
        <v>61</v>
      </c>
      <c r="N224" s="126" t="s">
        <v>62</v>
      </c>
      <c r="O224" s="126"/>
      <c r="P224" s="126"/>
      <c r="Q224" s="126"/>
      <c r="R224" s="126"/>
      <c r="S224" s="126"/>
      <c r="T224" s="126"/>
      <c r="V224" s="126"/>
      <c r="W224" s="127" t="s">
        <v>56</v>
      </c>
      <c r="X224" s="127" t="s">
        <v>70</v>
      </c>
      <c r="Y224" s="126" t="s">
        <v>58</v>
      </c>
      <c r="Z224" s="126" t="s">
        <v>58</v>
      </c>
      <c r="AA224" s="127" t="s">
        <v>59</v>
      </c>
      <c r="AB224" s="126" t="s">
        <v>60</v>
      </c>
      <c r="AC224" s="126" t="s">
        <v>61</v>
      </c>
      <c r="AD224" s="126" t="s">
        <v>62</v>
      </c>
      <c r="AE224" s="126"/>
      <c r="AF224" s="126"/>
      <c r="AG224" s="126"/>
      <c r="AH224" s="126"/>
      <c r="AI224" s="126"/>
      <c r="AJ224" s="126"/>
      <c r="AK224" s="127" t="s">
        <v>56</v>
      </c>
      <c r="AL224" s="127" t="s">
        <v>70</v>
      </c>
      <c r="AM224" s="126" t="s">
        <v>58</v>
      </c>
      <c r="AN224" s="126" t="s">
        <v>58</v>
      </c>
      <c r="AO224" s="127" t="s">
        <v>59</v>
      </c>
      <c r="AP224" s="126" t="s">
        <v>60</v>
      </c>
      <c r="AQ224" s="126" t="s">
        <v>61</v>
      </c>
      <c r="AR224" s="126" t="s">
        <v>62</v>
      </c>
      <c r="AS224" s="126"/>
      <c r="AT224" s="126"/>
      <c r="AU224" s="126"/>
      <c r="AV224" s="126"/>
      <c r="AX224" s="126"/>
      <c r="AY224" s="127" t="s">
        <v>56</v>
      </c>
      <c r="AZ224" s="127" t="s">
        <v>70</v>
      </c>
      <c r="BA224" s="126" t="s">
        <v>58</v>
      </c>
      <c r="BB224" s="126" t="s">
        <v>58</v>
      </c>
      <c r="BC224" s="127" t="s">
        <v>59</v>
      </c>
      <c r="BD224" s="126" t="s">
        <v>60</v>
      </c>
      <c r="BE224" s="126" t="s">
        <v>61</v>
      </c>
      <c r="BF224" s="126" t="s">
        <v>62</v>
      </c>
      <c r="BG224" s="126"/>
      <c r="BH224" s="126"/>
      <c r="BI224" s="126"/>
      <c r="BL224" s="126"/>
      <c r="BM224" s="126"/>
    </row>
    <row r="225" spans="4:65" s="123" customFormat="1" hidden="1">
      <c r="F225" s="126">
        <v>1</v>
      </c>
      <c r="G225" s="128" t="s">
        <v>63</v>
      </c>
      <c r="H225" s="14">
        <f>IF(I197=1,0.15525, IF(I197=2, 0.563, IF(I197=3, 0.23, IF(I197=4, 0.129, IF(I197=5, 0.064, IF(I197=6, 0.064, IF(I197=7, 0.064, IF(I197=8, 0.064, IF(I197=9, 0.064,"")))))))))</f>
        <v>0.15525</v>
      </c>
      <c r="I225" s="128">
        <f>IF((J$11=G225),F225,"")</f>
        <v>1</v>
      </c>
      <c r="J225" s="128">
        <f>IFERROR(SMALL(I$225:I$226,F225),"")</f>
        <v>1</v>
      </c>
      <c r="K225" s="128">
        <v>70</v>
      </c>
      <c r="L225" s="3">
        <f>IF(J$225=F225,J$13*H225*12919)</f>
        <v>100283737.5</v>
      </c>
      <c r="M225" s="3">
        <f>IF(J$225=F225,J$14*H225*12919)</f>
        <v>0</v>
      </c>
      <c r="N225" s="3">
        <f>(((L225-M225)/1000)*0.000001)*J$7</f>
        <v>0.1002837375</v>
      </c>
      <c r="O225" s="126" t="s">
        <v>64</v>
      </c>
      <c r="P225" s="126"/>
      <c r="Q225" s="126"/>
      <c r="R225" s="126"/>
      <c r="S225" s="126"/>
      <c r="T225" s="126"/>
      <c r="V225" s="126">
        <v>1</v>
      </c>
      <c r="W225" s="128" t="s">
        <v>63</v>
      </c>
      <c r="X225" s="14">
        <f>IF(Y197=1,0.15525, IF(Y197=2, 0.563, IF(Y197=3, 0.23, IF(Y197=4, 0.129, IF(Y197=5, 0.064, IF(Y197=6, 0.064, IF(Y197=7, 0.064, IF(Y197=8, 0.064, IF(Y197=9, 0.064,"")))))))))</f>
        <v>0.15525</v>
      </c>
      <c r="Y225" s="128">
        <f>IF((K$11=W225),V225,"")</f>
        <v>1</v>
      </c>
      <c r="Z225" s="128">
        <f>IFERROR(SMALL(Y$225:Y$226,V225),"")</f>
        <v>1</v>
      </c>
      <c r="AA225" s="128">
        <v>70</v>
      </c>
      <c r="AB225" s="3">
        <f>IF(Z$225=V225,K$13*X225*12919)</f>
        <v>100283737.5</v>
      </c>
      <c r="AC225" s="3">
        <f>IF(Z$225=V225,K$14*X225*12919)</f>
        <v>0</v>
      </c>
      <c r="AD225" s="3">
        <f>(((AB225-AC225)/1000)*0.000001)*K$7</f>
        <v>0.1002837375</v>
      </c>
      <c r="AE225" s="126" t="s">
        <v>64</v>
      </c>
      <c r="AF225" s="126"/>
      <c r="AG225" s="126"/>
      <c r="AH225" s="126"/>
      <c r="AI225" s="126"/>
      <c r="AJ225" s="126">
        <v>1</v>
      </c>
      <c r="AK225" s="128" t="s">
        <v>63</v>
      </c>
      <c r="AL225" s="14">
        <f>IF(AM197=1,0.15525, IF(AM197=2, 0.563, IF(AM197=3, 0.23, IF(AM197=4, 0.129, IF(AM197=5, 0.064, IF(AM197=6, 0.064, IF(AM197=7, 0.064, IF(AM197=8, 0.064, IF(AM197=9, 0.064,"")))))))))</f>
        <v>0.15525</v>
      </c>
      <c r="AM225" s="128">
        <f>IF((L$11=AK225),AJ225,"")</f>
        <v>1</v>
      </c>
      <c r="AN225" s="128">
        <f>IFERROR(SMALL(AM$225:AM$226,AJ225),"")</f>
        <v>1</v>
      </c>
      <c r="AO225" s="128">
        <v>70</v>
      </c>
      <c r="AP225" s="3">
        <f>IF(AN$225=AJ225,L$13*AL225*12919)</f>
        <v>100283737.5</v>
      </c>
      <c r="AQ225" s="3">
        <f>IF(AN$225=AJ225,L$14*AL225*12919)</f>
        <v>0</v>
      </c>
      <c r="AR225" s="3">
        <f>(((AP225-AQ225)/1000)*0.000001)*L$7</f>
        <v>0.1002837375</v>
      </c>
      <c r="AS225" s="126" t="s">
        <v>64</v>
      </c>
      <c r="AT225" s="126"/>
      <c r="AU225" s="126"/>
      <c r="AV225" s="126"/>
      <c r="AX225" s="126">
        <v>1</v>
      </c>
      <c r="AY225" s="128" t="s">
        <v>63</v>
      </c>
      <c r="AZ225" s="14">
        <f>IF(BA197=1,0.15525, IF(BA197=2, 0.563, IF(BA197=3, 0.23, IF(BA197=4, 0.129, IF(BA197=5, 0.064, IF(BA197=6, 0.064, IF(BA197=7, 0.064, IF(BA197=8, 0.064, IF(BA197=9, 0.064,"")))))))))</f>
        <v>0.15525</v>
      </c>
      <c r="BA225" s="128">
        <f>IF((M$11=AY225),AX225,"")</f>
        <v>1</v>
      </c>
      <c r="BB225" s="128">
        <f>IFERROR(SMALL(BA$225:BA$226,AX225),"")</f>
        <v>1</v>
      </c>
      <c r="BC225" s="128">
        <v>70</v>
      </c>
      <c r="BD225" s="3">
        <f>IF(BB$225=AX225,M$13*AZ225*12919)</f>
        <v>100283737.5</v>
      </c>
      <c r="BE225" s="3">
        <f>IF(BB$225=AX225,M$14*AZ225*12919)</f>
        <v>0</v>
      </c>
      <c r="BF225" s="3">
        <f>(((BD225-BE225)/1000)*0.000001)*M$7</f>
        <v>0.1002837375</v>
      </c>
      <c r="BG225" s="126" t="s">
        <v>64</v>
      </c>
      <c r="BH225" s="126"/>
      <c r="BI225" s="126"/>
      <c r="BL225" s="126"/>
      <c r="BM225" s="126"/>
    </row>
    <row r="226" spans="4:65" s="123" customFormat="1" hidden="1">
      <c r="F226" s="126">
        <v>2</v>
      </c>
      <c r="G226" s="128" t="s">
        <v>106</v>
      </c>
      <c r="H226" s="14">
        <f>IF(I197=1,0.89437, IF(I197=2, 1.22, IF(I197=3, 1.22, IF(I197=4, 1.03, IF(I197=5, 0.831, IF(I197=6, 1.15, IF(I197=7, 0.96, IF(I197=8, 0.496, IF(I197=9, 0.248,"")))))))))</f>
        <v>0.89437</v>
      </c>
      <c r="I226" s="128" t="str">
        <f>IF((J$11=G226),F226,"")</f>
        <v/>
      </c>
      <c r="J226" s="128" t="str">
        <f>IFERROR(SMALL(I$225:I$226,F226),"")</f>
        <v/>
      </c>
      <c r="K226" s="128">
        <v>80</v>
      </c>
      <c r="L226" s="3" t="b">
        <f>IF(J$225=F226,J$13*H226*20787)</f>
        <v>0</v>
      </c>
      <c r="M226" s="3" t="b">
        <f>IF(J$225=F226,J$14*H226*20787)</f>
        <v>0</v>
      </c>
      <c r="N226" s="3">
        <f>(((L226-M226)/1000)*0.000001)*J$7</f>
        <v>0</v>
      </c>
      <c r="O226" s="126" t="s">
        <v>64</v>
      </c>
      <c r="P226" s="126"/>
      <c r="Q226" s="126"/>
      <c r="R226" s="126"/>
      <c r="S226" s="126"/>
      <c r="T226" s="126"/>
      <c r="V226" s="126">
        <v>2</v>
      </c>
      <c r="W226" s="128" t="s">
        <v>106</v>
      </c>
      <c r="X226" s="14">
        <f>IF(Y197=1,0.89437, IF(Y197=2, 1.22, IF(Y197=3, 1.22, IF(Y197=4, 1.03, IF(Y197=5, 0.831, IF(Y197=6, 1.15, IF(Y197=7, 0.96, IF(Y197=8, 0.496, IF(Y197=9, 0.248,"")))))))))</f>
        <v>0.89437</v>
      </c>
      <c r="Y226" s="128" t="str">
        <f>IF((K$11=W226),V226,"")</f>
        <v/>
      </c>
      <c r="Z226" s="128" t="str">
        <f>IFERROR(SMALL(Y$225:Y$225,V226),"")</f>
        <v/>
      </c>
      <c r="AA226" s="128">
        <v>80</v>
      </c>
      <c r="AB226" s="3" t="b">
        <f>IF(Z$225=V226,K$13*X226*20787)</f>
        <v>0</v>
      </c>
      <c r="AC226" s="3" t="b">
        <f>IF(Z$225=V226,K$14*X226*20787)</f>
        <v>0</v>
      </c>
      <c r="AD226" s="3">
        <f>(((AB226-AC226)/1000)*0.000001)*K$7</f>
        <v>0</v>
      </c>
      <c r="AE226" s="126" t="s">
        <v>64</v>
      </c>
      <c r="AF226" s="126"/>
      <c r="AG226" s="126"/>
      <c r="AH226" s="126"/>
      <c r="AI226" s="126"/>
      <c r="AJ226" s="126">
        <v>2</v>
      </c>
      <c r="AK226" s="128" t="s">
        <v>106</v>
      </c>
      <c r="AL226" s="14">
        <f>IF(AM197=1,0.89437, IF(AM197=2, 1.22, IF(AM197=3, 1.22, IF(AM197=4, 1.03, IF(AM197=5, 0.831, IF(AM197=6, 1.15, IF(AM197=7, 0.96, IF(AM197=8, 0.496, IF(AM197=9, 0.248,"")))))))))</f>
        <v>0.89437</v>
      </c>
      <c r="AM226" s="128" t="str">
        <f>IF((L$11=AK226),AJ226,"")</f>
        <v/>
      </c>
      <c r="AN226" s="128" t="str">
        <f>IFERROR(SMALL(AM$225:AM$226,AJ226),"")</f>
        <v/>
      </c>
      <c r="AO226" s="128">
        <v>80</v>
      </c>
      <c r="AP226" s="3" t="b">
        <f>IF(AN$225=AJ226,L$13*AL226*20787)</f>
        <v>0</v>
      </c>
      <c r="AQ226" s="3" t="b">
        <f>IF(AN$225=AJ226,L$14*AL226*20787)</f>
        <v>0</v>
      </c>
      <c r="AR226" s="3">
        <f>(((AP226-AQ226)/1000)*0.000001)*L$7</f>
        <v>0</v>
      </c>
      <c r="AS226" s="126" t="s">
        <v>64</v>
      </c>
      <c r="AT226" s="126"/>
      <c r="AU226" s="126"/>
      <c r="AV226" s="126"/>
      <c r="AX226" s="126">
        <v>2</v>
      </c>
      <c r="AY226" s="128" t="s">
        <v>106</v>
      </c>
      <c r="AZ226" s="14">
        <f>IF(BA197=1,0.89437, IF(BA197=2, 1.22, IF(BA197=3, 1.22, IF(BA197=4, 1.03, IF(BA197=5, 0.831, IF(BA197=6, 1.15, IF(BA197=7, 0.96, IF(BA197=8, 0.496, IF(BA197=9, 0.248,"")))))))))</f>
        <v>0.89437</v>
      </c>
      <c r="BA226" s="128" t="str">
        <f>IF((M$11=AY226),AX226,"")</f>
        <v/>
      </c>
      <c r="BB226" s="128" t="str">
        <f>IFERROR(SMALL(BA$225:BA$226,AX226),"")</f>
        <v/>
      </c>
      <c r="BC226" s="128">
        <v>80</v>
      </c>
      <c r="BD226" s="3" t="b">
        <f>IF(BB$225=AX226,M$13*AZ226*20787)</f>
        <v>0</v>
      </c>
      <c r="BE226" s="3" t="b">
        <f>IF(BB$225=AX226,M$14*AZ226*20787)</f>
        <v>0</v>
      </c>
      <c r="BF226" s="3">
        <f>(((BD226-BE226)/1000)*0.000001)*M$7</f>
        <v>0</v>
      </c>
      <c r="BG226" s="126" t="s">
        <v>64</v>
      </c>
      <c r="BH226" s="126"/>
      <c r="BI226" s="126"/>
      <c r="BL226" s="126"/>
      <c r="BM226" s="126"/>
    </row>
    <row r="227" spans="4:65" ht="15.75" hidden="1" thickBot="1">
      <c r="F227" s="2"/>
      <c r="G227" s="2"/>
      <c r="H227" s="2"/>
      <c r="I227" s="2"/>
      <c r="J227" s="2"/>
      <c r="K227" s="2"/>
      <c r="L227" s="2"/>
      <c r="M227" s="2"/>
      <c r="N227" s="2"/>
      <c r="O227" s="2"/>
      <c r="P227" s="2"/>
      <c r="Q227" s="2"/>
      <c r="R227" s="2"/>
      <c r="S227" s="2"/>
      <c r="T227" s="2"/>
      <c r="V227" s="2"/>
      <c r="W227" s="2"/>
      <c r="X227" s="2"/>
      <c r="Y227" s="2"/>
      <c r="Z227" s="2"/>
      <c r="AA227" s="2"/>
      <c r="AB227" s="2"/>
      <c r="AC227" s="2"/>
      <c r="AD227" s="2"/>
      <c r="AE227" s="2"/>
      <c r="AF227" s="2"/>
      <c r="AG227" s="2"/>
      <c r="AH227" s="2"/>
      <c r="AI227" s="2"/>
      <c r="AJ227" s="2"/>
      <c r="AK227" s="2"/>
      <c r="AL227" s="2"/>
      <c r="AM227" s="2"/>
      <c r="AN227" s="2"/>
      <c r="AO227" s="2"/>
      <c r="AP227" s="2"/>
      <c r="AQ227" s="2"/>
      <c r="AR227" s="2"/>
      <c r="AS227" s="2"/>
      <c r="AT227" s="2"/>
      <c r="AU227" s="2"/>
      <c r="AV227" s="2"/>
      <c r="AX227" s="2"/>
      <c r="AY227" s="2"/>
      <c r="AZ227" s="2"/>
      <c r="BA227" s="2"/>
      <c r="BB227" s="2"/>
      <c r="BC227" s="2"/>
      <c r="BD227" s="2"/>
      <c r="BE227" s="2"/>
      <c r="BF227" s="2"/>
      <c r="BG227" s="2"/>
      <c r="BH227" s="2"/>
      <c r="BI227" s="2"/>
      <c r="BL227" s="2"/>
      <c r="BM227" s="2"/>
    </row>
    <row r="228" spans="4:65" ht="15.75" hidden="1" thickBot="1">
      <c r="D228" s="134"/>
      <c r="E228" s="135"/>
      <c r="F228" s="136"/>
      <c r="G228" s="2"/>
      <c r="H228" s="2"/>
      <c r="I228" s="2"/>
      <c r="J228" s="2"/>
      <c r="K228" s="2"/>
      <c r="L228" s="2"/>
      <c r="M228" s="2"/>
      <c r="N228" s="2"/>
      <c r="O228" s="2"/>
      <c r="P228" s="2"/>
      <c r="Q228" s="2"/>
      <c r="R228" s="2"/>
      <c r="S228" s="2"/>
      <c r="T228" s="2"/>
      <c r="V228" s="2"/>
      <c r="W228" s="2"/>
      <c r="X228" s="2"/>
      <c r="Y228" s="2"/>
      <c r="Z228" s="2"/>
      <c r="AA228" s="2"/>
      <c r="AB228" s="2"/>
      <c r="AC228" s="2"/>
      <c r="AD228" s="2"/>
      <c r="AE228" s="2"/>
      <c r="AF228" s="2"/>
      <c r="AG228" s="2"/>
      <c r="AH228" s="2"/>
      <c r="AI228" s="2"/>
      <c r="AJ228" s="2"/>
      <c r="AK228" s="2"/>
      <c r="AL228" s="2"/>
      <c r="AM228" s="2"/>
      <c r="AN228" s="2"/>
      <c r="AO228" s="2"/>
      <c r="AP228" s="2"/>
      <c r="AQ228" s="2"/>
      <c r="AR228" s="2"/>
      <c r="AS228" s="2"/>
      <c r="AT228" s="2"/>
      <c r="AU228" s="2"/>
      <c r="AV228" s="2"/>
      <c r="AX228" s="2"/>
      <c r="AY228" s="2"/>
      <c r="AZ228" s="2"/>
      <c r="BA228" s="2"/>
      <c r="BB228" s="2"/>
      <c r="BC228" s="2"/>
      <c r="BD228" s="2"/>
      <c r="BE228" s="2"/>
      <c r="BF228" s="2"/>
      <c r="BG228" s="2"/>
      <c r="BH228" s="2"/>
      <c r="BI228" s="2"/>
      <c r="BL228" s="2"/>
      <c r="BM228" s="2"/>
    </row>
    <row r="229" spans="4:65" hidden="1">
      <c r="F229" s="2"/>
      <c r="G229" s="12" t="s">
        <v>56</v>
      </c>
      <c r="H229" s="12" t="s">
        <v>57</v>
      </c>
      <c r="I229" s="2" t="s">
        <v>58</v>
      </c>
      <c r="J229" s="2" t="s">
        <v>58</v>
      </c>
      <c r="K229" s="12" t="s">
        <v>59</v>
      </c>
      <c r="L229" s="2" t="s">
        <v>60</v>
      </c>
      <c r="M229" s="2" t="s">
        <v>61</v>
      </c>
      <c r="N229" s="2" t="s">
        <v>62</v>
      </c>
      <c r="O229" s="2"/>
      <c r="P229" s="2"/>
      <c r="Q229" s="2"/>
      <c r="R229" s="2"/>
      <c r="S229" s="2"/>
      <c r="T229" s="2"/>
      <c r="V229" s="2"/>
      <c r="W229" s="12" t="s">
        <v>56</v>
      </c>
      <c r="X229" s="12" t="s">
        <v>57</v>
      </c>
      <c r="Y229" s="2" t="s">
        <v>58</v>
      </c>
      <c r="Z229" s="2" t="s">
        <v>58</v>
      </c>
      <c r="AA229" s="12" t="s">
        <v>59</v>
      </c>
      <c r="AB229" s="2" t="s">
        <v>60</v>
      </c>
      <c r="AC229" s="2" t="s">
        <v>61</v>
      </c>
      <c r="AD229" s="2" t="s">
        <v>62</v>
      </c>
      <c r="AE229" s="2"/>
      <c r="AF229" s="2"/>
      <c r="AG229" s="2"/>
      <c r="AH229" s="2"/>
      <c r="AI229" s="2"/>
      <c r="AJ229" s="2"/>
      <c r="AK229" s="12" t="s">
        <v>56</v>
      </c>
      <c r="AL229" s="12" t="s">
        <v>57</v>
      </c>
      <c r="AM229" s="2" t="s">
        <v>58</v>
      </c>
      <c r="AN229" s="2" t="s">
        <v>58</v>
      </c>
      <c r="AO229" s="12" t="s">
        <v>59</v>
      </c>
      <c r="AP229" s="2" t="s">
        <v>60</v>
      </c>
      <c r="AQ229" s="2" t="s">
        <v>61</v>
      </c>
      <c r="AR229" s="2" t="s">
        <v>62</v>
      </c>
      <c r="AS229" s="2"/>
      <c r="AT229" s="2"/>
      <c r="AU229" s="2"/>
      <c r="AV229" s="2"/>
      <c r="AX229" s="2"/>
      <c r="AY229" s="12" t="s">
        <v>56</v>
      </c>
      <c r="AZ229" s="12" t="s">
        <v>57</v>
      </c>
      <c r="BA229" s="2" t="s">
        <v>58</v>
      </c>
      <c r="BB229" s="2" t="s">
        <v>58</v>
      </c>
      <c r="BC229" s="12" t="s">
        <v>59</v>
      </c>
      <c r="BD229" s="2" t="s">
        <v>60</v>
      </c>
      <c r="BE229" s="2" t="s">
        <v>61</v>
      </c>
      <c r="BF229" s="2" t="s">
        <v>62</v>
      </c>
      <c r="BG229" s="2"/>
      <c r="BH229" s="2"/>
      <c r="BI229" s="2"/>
      <c r="BL229" s="2"/>
      <c r="BM229" s="2"/>
    </row>
    <row r="230" spans="4:65" hidden="1">
      <c r="F230" s="2">
        <v>1</v>
      </c>
      <c r="G230" s="3" t="s">
        <v>63</v>
      </c>
      <c r="H230" s="14">
        <f>IF(I185=1, 0.03455, IF(I185=2, 0.0758, IF(I185=3, 0.091, IF(I185=4, 0.0302, IF(I185=5, 0.0302, IF(I185=6, 0.0123, IF(I185=7, 0.0123, IF(I185=8, 0.0123, IF(I185=9, 0.0123,"")))))))))</f>
        <v>7.5800000000000006E-2</v>
      </c>
      <c r="I230" s="3" t="str">
        <f>IF((J$9=G230),F230,"")</f>
        <v/>
      </c>
      <c r="J230" s="3">
        <f>IFERROR(SMALL(I$230:I$231,F230),"")</f>
        <v>2</v>
      </c>
      <c r="K230" s="3">
        <v>70</v>
      </c>
      <c r="L230" s="3" t="b">
        <f>IF(J$230=F230,J$13*H230*12919)</f>
        <v>0</v>
      </c>
      <c r="M230" s="3" t="b">
        <f>IF(J$230=F230,J$14*H230*12919)</f>
        <v>0</v>
      </c>
      <c r="N230" s="3">
        <f>((((L230-M230)/1000)*0.000001)*J$7)</f>
        <v>0</v>
      </c>
      <c r="O230" s="2" t="s">
        <v>64</v>
      </c>
      <c r="P230" s="2"/>
      <c r="Q230" s="2"/>
      <c r="R230" s="2"/>
      <c r="S230" s="2"/>
      <c r="T230" s="2"/>
      <c r="V230" s="2">
        <v>1</v>
      </c>
      <c r="W230" s="3" t="s">
        <v>63</v>
      </c>
      <c r="X230" s="14">
        <f>IF(Y186=1, 0.03455, IF(Y186=2, 0.0758, IF(Y186=3, 0.091, IF(Y186=4, 0.0302, IF(Y186=5, 0.0302, IF(Y186=6, 0.0123, IF(Y186=7, 0.0123, IF(Y186=8, 0.0123, IF(Y186=9, 0.0123,"")))))))))</f>
        <v>7.5800000000000006E-2</v>
      </c>
      <c r="Y230" s="3" t="str">
        <f>IF((K$9=W230),V230,"")</f>
        <v/>
      </c>
      <c r="Z230" s="3">
        <f>IFERROR(SMALL(Y$230:Y$231,V230),"")</f>
        <v>2</v>
      </c>
      <c r="AA230" s="3">
        <v>70</v>
      </c>
      <c r="AB230" s="3" t="b">
        <f>IF(Z$230=V230,K$13*X230*12919)</f>
        <v>0</v>
      </c>
      <c r="AC230" s="3" t="b">
        <f>IF(Z$230=V230,K$14*X230*12919)</f>
        <v>0</v>
      </c>
      <c r="AD230" s="3">
        <f>((((AB230-AC230)/1000)*0.000001)*K$7)</f>
        <v>0</v>
      </c>
      <c r="AE230" s="2" t="s">
        <v>64</v>
      </c>
      <c r="AF230" s="2"/>
      <c r="AG230" s="2"/>
      <c r="AH230" s="2"/>
      <c r="AI230" s="2"/>
      <c r="AJ230" s="2">
        <v>1</v>
      </c>
      <c r="AK230" s="3" t="s">
        <v>63</v>
      </c>
      <c r="AL230" s="14">
        <f>IF(AM186=1, 0.03455, IF(AM186=2, 0.0758, IF(AM186=3, 0.091, IF(AM186=4, 0.0302, IF(AM186=5, 0.0302, IF(AM186=6, 0.0123, IF(AM186=7, 0.0123, IF(AM186=8, 0.0123, IF(AM186=9, 0.0123,"")))))))))</f>
        <v>7.5800000000000006E-2</v>
      </c>
      <c r="AM230" s="3" t="str">
        <f>IF((L$9=AK230),AJ230,"")</f>
        <v/>
      </c>
      <c r="AN230" s="3">
        <f>IFERROR(SMALL(AM$230:AM$231,AJ230),"")</f>
        <v>2</v>
      </c>
      <c r="AO230" s="3">
        <v>70</v>
      </c>
      <c r="AP230" s="3" t="b">
        <f>IF(AN$230=AJ230,L$13*AL230*12919)</f>
        <v>0</v>
      </c>
      <c r="AQ230" s="3" t="b">
        <f>IF(AN$230=AJ230,L$14*AL230*12919)</f>
        <v>0</v>
      </c>
      <c r="AR230" s="3">
        <f>((((AP230-AQ230)/1000)*0.000001)*L$7)</f>
        <v>0</v>
      </c>
      <c r="AS230" s="2" t="s">
        <v>64</v>
      </c>
      <c r="AT230" s="2"/>
      <c r="AU230" s="2"/>
      <c r="AV230" s="2"/>
      <c r="AX230" s="2">
        <v>1</v>
      </c>
      <c r="AY230" s="3" t="s">
        <v>63</v>
      </c>
      <c r="AZ230" s="14">
        <f>IF(BA186=1, 0.03455, IF(BA186=2, 0.0758, IF(BA186=3, 0.091, IF(BA186=4, 0.0302, IF(BA186=5, 0.0302, IF(BA186=6, 0.0123, IF(BA186=7, 0.0123, IF(BA186=8, 0.0123, IF(BA186=9, 0.0123,"")))))))))</f>
        <v>7.5800000000000006E-2</v>
      </c>
      <c r="BA230" s="3" t="str">
        <f>IF((M$9=AY230),AX230,"")</f>
        <v/>
      </c>
      <c r="BB230" s="3">
        <f>IFERROR(SMALL(BA$230:BA$231,AX230),"")</f>
        <v>2</v>
      </c>
      <c r="BC230" s="3">
        <v>70</v>
      </c>
      <c r="BD230" s="3" t="b">
        <f>IF(BB$230=AX230,M$13*AZ230*12919)</f>
        <v>0</v>
      </c>
      <c r="BE230" s="3" t="b">
        <f>IF(BB$230=AX230,M$14*AZ230*12919)</f>
        <v>0</v>
      </c>
      <c r="BF230" s="3">
        <f>((((BD230-BE230)/1000)*0.000001)*M$7)</f>
        <v>0</v>
      </c>
      <c r="BG230" s="2" t="s">
        <v>64</v>
      </c>
      <c r="BH230" s="2"/>
      <c r="BI230" s="2"/>
      <c r="BL230" s="2"/>
      <c r="BM230" s="2"/>
    </row>
    <row r="231" spans="4:65" hidden="1">
      <c r="F231" s="2">
        <v>2</v>
      </c>
      <c r="G231" s="3" t="s">
        <v>106</v>
      </c>
      <c r="H231" s="14">
        <f>IF(I185=1,0.00155, IF(I185=2, 0.0012, IF(I185=3, 0.0012, IF(I185=4, 0.0012, IF(I185=5, 0.0012, IF(I185=6, 0.0019, IF(I185=7, 0.0019, IF(I185=8, 0.0019, IF(I185=9, 0.0019,"")))))))))</f>
        <v>1.1999999999999999E-3</v>
      </c>
      <c r="I231" s="3">
        <f>IF((J$9=G231),F231,"")</f>
        <v>2</v>
      </c>
      <c r="J231" s="3" t="str">
        <f>IFERROR(SMALL(I$230:I$231,F231),"")</f>
        <v/>
      </c>
      <c r="K231" s="3">
        <v>80</v>
      </c>
      <c r="L231" s="3">
        <f>IF(J$230=F231,J$13*H231*20787)</f>
        <v>1247219.9999999998</v>
      </c>
      <c r="M231" s="3">
        <f>IF(J$230=F231,J$14*H231*20787)</f>
        <v>0</v>
      </c>
      <c r="N231" s="3">
        <f>((((L231-M231)/1000)*0.000001)*J$7)</f>
        <v>1.2472199999999998E-3</v>
      </c>
      <c r="O231" s="2" t="s">
        <v>64</v>
      </c>
      <c r="P231" s="2"/>
      <c r="Q231" s="2"/>
      <c r="R231" s="2"/>
      <c r="S231" s="2"/>
      <c r="T231" s="2"/>
      <c r="V231" s="2">
        <v>2</v>
      </c>
      <c r="W231" s="3" t="s">
        <v>106</v>
      </c>
      <c r="X231" s="14">
        <f>IF(Y186=1,0.00155, IF(Y186=2, 0.0012, IF(Y186=3, 0.0012, IF(Y186=4, 0.0012, IF(Y186=5, 0.0012, IF(Y186=6, 0.0019, IF(Y186=7, 0.0019, IF(Y186=8, 0.0019, IF(Y186=9, 0.0019,"")))))))))</f>
        <v>1.1999999999999999E-3</v>
      </c>
      <c r="Y231" s="3">
        <f>IF((K$9=W231),V231,"")</f>
        <v>2</v>
      </c>
      <c r="Z231" s="3" t="str">
        <f>IFERROR(SMALL(Y$230:Y$231,V231),"")</f>
        <v/>
      </c>
      <c r="AA231" s="3">
        <v>80</v>
      </c>
      <c r="AB231" s="3">
        <f>IF(Z$230=V231,K$13*X231*20787)</f>
        <v>1247219.9999999998</v>
      </c>
      <c r="AC231" s="3">
        <f>IF(Z$230=V231,K$14*X231*20787)</f>
        <v>0</v>
      </c>
      <c r="AD231" s="3">
        <f>((((AB231-AC231)/1000)*0.000001)*K$7)</f>
        <v>1.2472199999999998E-3</v>
      </c>
      <c r="AE231" s="2" t="s">
        <v>64</v>
      </c>
      <c r="AF231" s="2"/>
      <c r="AG231" s="2"/>
      <c r="AH231" s="2"/>
      <c r="AI231" s="2"/>
      <c r="AJ231" s="2">
        <v>2</v>
      </c>
      <c r="AK231" s="3" t="s">
        <v>106</v>
      </c>
      <c r="AL231" s="14">
        <f>IF(AM186=1,0.00155, IF(AM186=2, 0.0012, IF(AM186=3, 0.0012, IF(AM186=4, 0.0012, IF(AM186=5, 0.0012, IF(AM186=6, 0.0019, IF(AM186=7, 0.0019, IF(AM186=8, 0.0019, IF(AM186=9, 0.0019,"")))))))))</f>
        <v>1.1999999999999999E-3</v>
      </c>
      <c r="AM231" s="3">
        <f>IF((L$9=AK231),AJ231,"")</f>
        <v>2</v>
      </c>
      <c r="AN231" s="3" t="str">
        <f>IFERROR(SMALL(AM$230:AM$231,AJ231),"")</f>
        <v/>
      </c>
      <c r="AO231" s="3">
        <v>80</v>
      </c>
      <c r="AP231" s="3">
        <f>IF(AN$230=AJ231,L$13*AL231*20787)</f>
        <v>1247219.9999999998</v>
      </c>
      <c r="AQ231" s="3">
        <f>IF(AN$230=AJ231,L$14*AL231*20787)</f>
        <v>0</v>
      </c>
      <c r="AR231" s="3">
        <f>((((AP231-AQ231)/1000)*0.000001)*L$7)</f>
        <v>1.2472199999999998E-3</v>
      </c>
      <c r="AS231" s="2" t="s">
        <v>64</v>
      </c>
      <c r="AT231" s="2"/>
      <c r="AU231" s="2"/>
      <c r="AV231" s="2"/>
      <c r="AX231" s="2">
        <v>2</v>
      </c>
      <c r="AY231" s="3" t="s">
        <v>106</v>
      </c>
      <c r="AZ231" s="14">
        <f>IF(BA186=1,0.00155, IF(BA186=2, 0.0012, IF(BA186=3, 0.0012, IF(BA186=4, 0.0012, IF(BA186=5, 0.0012, IF(BA186=6, 0.0019, IF(BA186=7, 0.0019, IF(BA186=8, 0.0019, IF(BA186=9, 0.0019,"")))))))))</f>
        <v>1.1999999999999999E-3</v>
      </c>
      <c r="BA231" s="3">
        <f>IF((M$9=AY231),AX231,"")</f>
        <v>2</v>
      </c>
      <c r="BB231" s="3" t="str">
        <f>IFERROR(SMALL(BA$230:BA$231,AX231),"")</f>
        <v/>
      </c>
      <c r="BC231" s="3">
        <v>80</v>
      </c>
      <c r="BD231" s="3">
        <f>IF(BB$230=AX231,M$13*AZ231*20787)</f>
        <v>1247219.9999999998</v>
      </c>
      <c r="BE231" s="3">
        <f>IF(BB$230=AX231,M$14*AZ231*20787)</f>
        <v>0</v>
      </c>
      <c r="BF231" s="3">
        <f>((((BD231-BE231)/1000)*0.000001)*M$7)</f>
        <v>1.2472199999999998E-3</v>
      </c>
      <c r="BG231" s="2" t="s">
        <v>64</v>
      </c>
      <c r="BH231" s="2"/>
      <c r="BI231" s="2"/>
      <c r="BL231" s="2"/>
      <c r="BM231" s="2"/>
    </row>
    <row r="232" spans="4:65" hidden="1">
      <c r="F232" s="2"/>
      <c r="G232" s="2"/>
      <c r="H232" s="14"/>
      <c r="I232" s="2"/>
      <c r="J232" s="2"/>
      <c r="K232" s="2"/>
      <c r="L232" s="2"/>
      <c r="M232" s="2"/>
      <c r="N232" s="2"/>
      <c r="O232" s="2"/>
      <c r="P232" s="2"/>
      <c r="Q232" s="2"/>
      <c r="R232" s="2"/>
      <c r="S232" s="2"/>
      <c r="T232" s="2"/>
      <c r="V232" s="2"/>
      <c r="W232" s="2"/>
      <c r="X232" s="14"/>
      <c r="Y232" s="2"/>
      <c r="Z232" s="2"/>
      <c r="AA232" s="2"/>
      <c r="AB232" s="2"/>
      <c r="AC232" s="2"/>
      <c r="AD232" s="2"/>
      <c r="AE232" s="2"/>
      <c r="AF232" s="2"/>
      <c r="AG232" s="2"/>
      <c r="AH232" s="2"/>
      <c r="AI232" s="2"/>
      <c r="AJ232" s="2"/>
      <c r="AK232" s="2"/>
      <c r="AL232" s="14"/>
      <c r="AM232" s="2"/>
      <c r="AN232" s="2"/>
      <c r="AO232" s="2"/>
      <c r="AP232" s="2"/>
      <c r="AQ232" s="2"/>
      <c r="AR232" s="2"/>
      <c r="AS232" s="2"/>
      <c r="AT232" s="2"/>
      <c r="AU232" s="2"/>
      <c r="AV232" s="2"/>
      <c r="AX232" s="2"/>
      <c r="AY232" s="2"/>
      <c r="AZ232" s="14"/>
      <c r="BA232" s="2"/>
      <c r="BB232" s="2"/>
      <c r="BC232" s="2"/>
      <c r="BD232" s="2"/>
      <c r="BE232" s="2"/>
      <c r="BF232" s="2"/>
      <c r="BG232" s="2"/>
      <c r="BH232" s="2"/>
      <c r="BI232" s="2"/>
      <c r="BL232" s="2"/>
      <c r="BM232" s="2"/>
    </row>
    <row r="233" spans="4:65" s="123" customFormat="1" hidden="1">
      <c r="F233" s="126"/>
      <c r="G233" s="127" t="s">
        <v>56</v>
      </c>
      <c r="H233" s="127" t="s">
        <v>57</v>
      </c>
      <c r="I233" s="126" t="s">
        <v>58</v>
      </c>
      <c r="J233" s="126" t="s">
        <v>58</v>
      </c>
      <c r="K233" s="127" t="s">
        <v>59</v>
      </c>
      <c r="L233" s="126" t="s">
        <v>60</v>
      </c>
      <c r="M233" s="126" t="s">
        <v>61</v>
      </c>
      <c r="N233" s="126" t="s">
        <v>62</v>
      </c>
      <c r="O233" s="126"/>
      <c r="P233" s="126"/>
      <c r="Q233" s="126"/>
      <c r="R233" s="126"/>
      <c r="S233" s="126"/>
      <c r="T233" s="126"/>
      <c r="V233" s="126"/>
      <c r="W233" s="127" t="s">
        <v>56</v>
      </c>
      <c r="X233" s="127" t="s">
        <v>57</v>
      </c>
      <c r="Y233" s="126" t="s">
        <v>58</v>
      </c>
      <c r="Z233" s="126" t="s">
        <v>58</v>
      </c>
      <c r="AA233" s="127" t="s">
        <v>59</v>
      </c>
      <c r="AB233" s="126" t="s">
        <v>60</v>
      </c>
      <c r="AC233" s="126" t="s">
        <v>61</v>
      </c>
      <c r="AD233" s="126" t="s">
        <v>62</v>
      </c>
      <c r="AE233" s="126"/>
      <c r="AF233" s="126"/>
      <c r="AG233" s="126"/>
      <c r="AH233" s="126"/>
      <c r="AI233" s="126"/>
      <c r="AJ233" s="126"/>
      <c r="AK233" s="127" t="s">
        <v>56</v>
      </c>
      <c r="AL233" s="127" t="s">
        <v>57</v>
      </c>
      <c r="AM233" s="126" t="s">
        <v>58</v>
      </c>
      <c r="AN233" s="126" t="s">
        <v>58</v>
      </c>
      <c r="AO233" s="127" t="s">
        <v>59</v>
      </c>
      <c r="AP233" s="126" t="s">
        <v>60</v>
      </c>
      <c r="AQ233" s="126" t="s">
        <v>61</v>
      </c>
      <c r="AR233" s="126" t="s">
        <v>62</v>
      </c>
      <c r="AS233" s="126"/>
      <c r="AT233" s="126"/>
      <c r="AU233" s="126"/>
      <c r="AV233" s="126"/>
      <c r="AX233" s="126"/>
      <c r="AY233" s="127" t="s">
        <v>56</v>
      </c>
      <c r="AZ233" s="127" t="s">
        <v>57</v>
      </c>
      <c r="BA233" s="126" t="s">
        <v>58</v>
      </c>
      <c r="BB233" s="126" t="s">
        <v>58</v>
      </c>
      <c r="BC233" s="127" t="s">
        <v>59</v>
      </c>
      <c r="BD233" s="126" t="s">
        <v>60</v>
      </c>
      <c r="BE233" s="126" t="s">
        <v>61</v>
      </c>
      <c r="BF233" s="126" t="s">
        <v>62</v>
      </c>
      <c r="BG233" s="126"/>
      <c r="BH233" s="126"/>
      <c r="BI233" s="126"/>
      <c r="BL233" s="126"/>
      <c r="BM233" s="126"/>
    </row>
    <row r="234" spans="4:65" s="123" customFormat="1" hidden="1">
      <c r="F234" s="126">
        <v>1</v>
      </c>
      <c r="G234" s="128" t="s">
        <v>63</v>
      </c>
      <c r="H234" s="14">
        <f>IF(I197=1, 0.03455, IF(I197=2, 0.0758, IF(I197=3, 0.091, IF(I197=4, 0.0302, IF(I197=5, 0.0302, IF(I197=6, 0.0123, IF(I197=7, 0.0123, IF(I197=8, 0.0123, IF(I197=9, 0.0123,"")))))))))</f>
        <v>3.4549999999999997E-2</v>
      </c>
      <c r="I234" s="128">
        <f>IF((J$11=G234),F234,"")</f>
        <v>1</v>
      </c>
      <c r="J234" s="128">
        <f>IFERROR(SMALL(I$234:I$235,F234),"")</f>
        <v>1</v>
      </c>
      <c r="K234" s="128">
        <v>70</v>
      </c>
      <c r="L234" s="3">
        <f>IF(J$234=F234,J$13*H234*12919)</f>
        <v>22317572.499999996</v>
      </c>
      <c r="M234" s="3">
        <f>IF(J$234=F234,J$14*H234*12919)</f>
        <v>0</v>
      </c>
      <c r="N234" s="3">
        <f>((((L234-M234)/1000)*0.000001)*J$7)</f>
        <v>2.2317572499999994E-2</v>
      </c>
      <c r="O234" s="126" t="s">
        <v>64</v>
      </c>
      <c r="P234" s="126"/>
      <c r="Q234" s="126"/>
      <c r="R234" s="126"/>
      <c r="S234" s="126"/>
      <c r="T234" s="126"/>
      <c r="V234" s="126">
        <v>1</v>
      </c>
      <c r="W234" s="128" t="s">
        <v>63</v>
      </c>
      <c r="X234" s="14">
        <f>IF(Y197=1, 0.03455, IF(Y197=2, 0.0758, IF(Y197=3, 0.091, IF(Y197=4, 0.0302, IF(Y197=5, 0.0302, IF(Y197=6, 0.0123, IF(Y197=7, 0.0123, IF(Y197=8, 0.0123, IF(Y197=9, 0.0123,"")))))))))</f>
        <v>3.4549999999999997E-2</v>
      </c>
      <c r="Y234" s="128">
        <f>IF((K$11=W234),V234,"")</f>
        <v>1</v>
      </c>
      <c r="Z234" s="128">
        <f>IFERROR(SMALL(Y$234:Y$235,V234),"")</f>
        <v>1</v>
      </c>
      <c r="AA234" s="128">
        <v>70</v>
      </c>
      <c r="AB234" s="3">
        <f>IF(Z$234=V234,K$13*X234*12919)</f>
        <v>22317572.499999996</v>
      </c>
      <c r="AC234" s="3">
        <f>IF(Z$234=V234,K$14*X234*12919)</f>
        <v>0</v>
      </c>
      <c r="AD234" s="3">
        <f>((((AB234-AC234)/1000)*0.000001)*K$7)</f>
        <v>2.2317572499999994E-2</v>
      </c>
      <c r="AE234" s="126" t="s">
        <v>64</v>
      </c>
      <c r="AF234" s="126"/>
      <c r="AG234" s="126"/>
      <c r="AH234" s="126"/>
      <c r="AI234" s="126"/>
      <c r="AJ234" s="126">
        <v>1</v>
      </c>
      <c r="AK234" s="128" t="s">
        <v>63</v>
      </c>
      <c r="AL234" s="14">
        <f>IF(AM197=1, 0.03455, IF(AM197=2, 0.0758, IF(AM197=3, 0.091, IF(AM197=4, 0.0302, IF(AM197=5, 0.0302, IF(AM197=6, 0.0123, IF(AM197=7, 0.0123, IF(AM197=8, 0.0123, IF(AM197=9, 0.0123,"")))))))))</f>
        <v>3.4549999999999997E-2</v>
      </c>
      <c r="AM234" s="128">
        <f>IF((L$11=AK234),AJ234,"")</f>
        <v>1</v>
      </c>
      <c r="AN234" s="128">
        <f>IFERROR(SMALL(AM$234:AM$235,AJ234),"")</f>
        <v>1</v>
      </c>
      <c r="AO234" s="128">
        <v>70</v>
      </c>
      <c r="AP234" s="3">
        <f>IF(AN$234=AJ234,L$13*AL234*12919)</f>
        <v>22317572.499999996</v>
      </c>
      <c r="AQ234" s="3">
        <f>IF(AN$234=AJ234,L$14*AL234*12919)</f>
        <v>0</v>
      </c>
      <c r="AR234" s="3">
        <f>((((AP234-AQ234)/1000)*0.000001)*L$7)</f>
        <v>2.2317572499999994E-2</v>
      </c>
      <c r="AS234" s="126" t="s">
        <v>64</v>
      </c>
      <c r="AT234" s="126"/>
      <c r="AU234" s="126"/>
      <c r="AV234" s="126"/>
      <c r="AX234" s="126">
        <v>1</v>
      </c>
      <c r="AY234" s="128" t="s">
        <v>63</v>
      </c>
      <c r="AZ234" s="14">
        <f>IF(BA197=1, 0.03455, IF(BA197=2, 0.0758, IF(BA197=3, 0.091, IF(BA197=4, 0.0302, IF(BA197=5, 0.0302, IF(BA197=6, 0.0123, IF(BA197=7, 0.0123, IF(BA197=8, 0.0123, IF(BA197=9, 0.0123,"")))))))))</f>
        <v>3.4549999999999997E-2</v>
      </c>
      <c r="BA234" s="128">
        <f>IF((M$11=AY234),AX234,"")</f>
        <v>1</v>
      </c>
      <c r="BB234" s="128">
        <f>IFERROR(SMALL(BA$234:BA$235,AX234),"")</f>
        <v>1</v>
      </c>
      <c r="BC234" s="128">
        <v>70</v>
      </c>
      <c r="BD234" s="3">
        <f>IF(BB$234=AX234,M$13*AZ234*12919)</f>
        <v>22317572.499999996</v>
      </c>
      <c r="BE234" s="3">
        <f>IF(BB$234=AX234,M$14*AZ234*12919)</f>
        <v>0</v>
      </c>
      <c r="BF234" s="3">
        <f>((((BD234-BE234)/1000)*0.000001)*M$7)</f>
        <v>2.2317572499999994E-2</v>
      </c>
      <c r="BG234" s="126" t="s">
        <v>64</v>
      </c>
      <c r="BH234" s="126"/>
      <c r="BI234" s="126"/>
      <c r="BL234" s="126"/>
      <c r="BM234" s="126"/>
    </row>
    <row r="235" spans="4:65" s="123" customFormat="1" hidden="1">
      <c r="F235" s="126">
        <v>2</v>
      </c>
      <c r="G235" s="128" t="s">
        <v>106</v>
      </c>
      <c r="H235" s="14">
        <f>IF(I197=1,0.00155, IF(I197=2, 0.0012, IF(I197=3, 0.0012, IF(I197=4, 0.0012, IF(I197=5, 0.0012, IF(I197=6, 0.0019, IF(I197=7, 0.0019, IF(I197=8, 0.0019, IF(I197=9, 0.0019,"")))))))))</f>
        <v>1.5499999999999999E-3</v>
      </c>
      <c r="I235" s="128" t="str">
        <f>IF((J$11=G235),F235,"")</f>
        <v/>
      </c>
      <c r="J235" s="128" t="str">
        <f>IFERROR(SMALL(I$230:I$231,F235),"")</f>
        <v/>
      </c>
      <c r="K235" s="128">
        <v>80</v>
      </c>
      <c r="L235" s="3" t="b">
        <f>IF(J$234=F235,J$13*H235*20787)</f>
        <v>0</v>
      </c>
      <c r="M235" s="3" t="b">
        <f>IF(J$234=F235,J$14*H235*20787)</f>
        <v>0</v>
      </c>
      <c r="N235" s="3">
        <f>((((L235-M235)/1000)*0.000001)*J$7)</f>
        <v>0</v>
      </c>
      <c r="O235" s="126" t="s">
        <v>64</v>
      </c>
      <c r="P235" s="126"/>
      <c r="Q235" s="126"/>
      <c r="R235" s="126"/>
      <c r="S235" s="126"/>
      <c r="T235" s="126"/>
      <c r="V235" s="126">
        <v>2</v>
      </c>
      <c r="W235" s="128" t="s">
        <v>106</v>
      </c>
      <c r="X235" s="14">
        <f>IF(Y197=1,0.00155, IF(Y197=2, 0.0012, IF(Y197=3, 0.0012, IF(Y197=4, 0.0012, IF(Y197=5, 0.0012, IF(Y197=6, 0.0019, IF(Y197=7, 0.0019, IF(Y197=8, 0.0019, IF(Y197=9, 0.0019,"")))))))))</f>
        <v>1.5499999999999999E-3</v>
      </c>
      <c r="Y235" s="128" t="str">
        <f>IF((K$11=W235),V235,"")</f>
        <v/>
      </c>
      <c r="Z235" s="128" t="str">
        <f>IFERROR(SMALL(Y$230:Y$231,V235),"")</f>
        <v/>
      </c>
      <c r="AA235" s="128">
        <v>80</v>
      </c>
      <c r="AB235" s="3" t="b">
        <f>IF(Z$234=V235,K$13*X235*20787)</f>
        <v>0</v>
      </c>
      <c r="AC235" s="3" t="b">
        <f>IF(Z$234=V235,K$14*X235*20787)</f>
        <v>0</v>
      </c>
      <c r="AD235" s="3">
        <f>((((AB235-AC235)/1000)*0.000001)*K$7)</f>
        <v>0</v>
      </c>
      <c r="AE235" s="126" t="s">
        <v>64</v>
      </c>
      <c r="AF235" s="126"/>
      <c r="AG235" s="126"/>
      <c r="AH235" s="126"/>
      <c r="AI235" s="126"/>
      <c r="AJ235" s="126">
        <v>2</v>
      </c>
      <c r="AK235" s="128" t="s">
        <v>106</v>
      </c>
      <c r="AL235" s="14">
        <f>IF(AM197=1,0.00155, IF(AM197=2, 0.0012, IF(AM197=3, 0.0012, IF(AM197=4, 0.0012, IF(AM197=5, 0.0012, IF(AM197=6, 0.0019, IF(AM197=7, 0.0019, IF(AM197=8, 0.0019, IF(AM197=9, 0.0019,"")))))))))</f>
        <v>1.5499999999999999E-3</v>
      </c>
      <c r="AM235" s="128" t="str">
        <f>IF((L$11=AK235),AJ235,"")</f>
        <v/>
      </c>
      <c r="AN235" s="128" t="str">
        <f>IFERROR(SMALL(AM$230:AM$231,AJ235),"")</f>
        <v/>
      </c>
      <c r="AO235" s="128">
        <v>80</v>
      </c>
      <c r="AP235" s="3" t="b">
        <f>IF(AN$234=AJ235,L$13*AL235*20787)</f>
        <v>0</v>
      </c>
      <c r="AQ235" s="3" t="b">
        <f>IF(AN$234=AJ235,L$14*AL235*20787)</f>
        <v>0</v>
      </c>
      <c r="AR235" s="3">
        <f>((((AP235-AQ235)/1000)*0.000001)*L$7)</f>
        <v>0</v>
      </c>
      <c r="AS235" s="126" t="s">
        <v>64</v>
      </c>
      <c r="AT235" s="126"/>
      <c r="AU235" s="126"/>
      <c r="AV235" s="126"/>
      <c r="AX235" s="126">
        <v>2</v>
      </c>
      <c r="AY235" s="128" t="s">
        <v>106</v>
      </c>
      <c r="AZ235" s="14">
        <f>IF(BA197=1,0.00155, IF(BA197=2, 0.0012, IF(BA197=3, 0.0012, IF(BA197=4, 0.0012, IF(BA197=5, 0.0012, IF(BA197=6, 0.0019, IF(BA197=7, 0.0019, IF(BA197=8, 0.0019, IF(BA197=9, 0.0019,"")))))))))</f>
        <v>1.5499999999999999E-3</v>
      </c>
      <c r="BA235" s="128" t="str">
        <f>IF((M$11=AY235),AX235,"")</f>
        <v/>
      </c>
      <c r="BB235" s="128" t="str">
        <f>IFERROR(SMALL(BA$230:BA$231,AX235),"")</f>
        <v/>
      </c>
      <c r="BC235" s="128">
        <v>80</v>
      </c>
      <c r="BD235" s="3" t="b">
        <f>IF(BB$234=AX235,M$13*AZ235*20787)</f>
        <v>0</v>
      </c>
      <c r="BE235" s="3" t="b">
        <f>IF(BB$234=AX235,M$14*AZ235*20787)</f>
        <v>0</v>
      </c>
      <c r="BF235" s="3">
        <f>((((BD235-BE235)/1000)*0.000001)*M$7)</f>
        <v>0</v>
      </c>
      <c r="BG235" s="126" t="s">
        <v>64</v>
      </c>
      <c r="BH235" s="126"/>
      <c r="BI235" s="126"/>
      <c r="BL235" s="126"/>
      <c r="BM235" s="126"/>
    </row>
    <row r="236" spans="4:65" hidden="1">
      <c r="F236" s="2"/>
      <c r="G236" s="2"/>
      <c r="H236" s="14"/>
      <c r="I236" s="2"/>
      <c r="J236" s="2"/>
      <c r="K236" s="2"/>
      <c r="L236" s="2"/>
      <c r="M236" s="2"/>
      <c r="N236" s="2"/>
      <c r="O236" s="2"/>
      <c r="P236" s="2"/>
      <c r="Q236" s="2"/>
      <c r="R236" s="2"/>
      <c r="S236" s="2"/>
      <c r="T236" s="2"/>
      <c r="V236" s="2"/>
      <c r="W236" s="2"/>
      <c r="X236" s="14"/>
      <c r="Y236" s="2"/>
      <c r="Z236" s="2"/>
      <c r="AA236" s="2"/>
      <c r="AB236" s="2"/>
      <c r="AC236" s="2"/>
      <c r="AD236" s="2"/>
      <c r="AE236" s="2"/>
      <c r="AF236" s="2"/>
      <c r="AG236" s="2"/>
      <c r="AH236" s="2"/>
      <c r="AI236" s="2"/>
      <c r="AJ236" s="2"/>
      <c r="AK236" s="2"/>
      <c r="AL236" s="14"/>
      <c r="AM236" s="2"/>
      <c r="AN236" s="2"/>
      <c r="AO236" s="2"/>
      <c r="AP236" s="2"/>
      <c r="AQ236" s="2"/>
      <c r="AR236" s="2"/>
      <c r="AS236" s="2"/>
      <c r="AT236" s="2"/>
      <c r="AU236" s="2"/>
      <c r="AV236" s="2"/>
      <c r="AX236" s="2"/>
      <c r="AY236" s="2"/>
      <c r="AZ236" s="14"/>
      <c r="BA236" s="2"/>
      <c r="BB236" s="2"/>
      <c r="BC236" s="2"/>
      <c r="BD236" s="2"/>
      <c r="BE236" s="2"/>
      <c r="BF236" s="2"/>
      <c r="BG236" s="2"/>
      <c r="BH236" s="2"/>
      <c r="BI236" s="2"/>
      <c r="BL236" s="2"/>
      <c r="BM236" s="2"/>
    </row>
    <row r="237" spans="4:65" hidden="1">
      <c r="F237" s="2"/>
      <c r="G237" s="2"/>
      <c r="H237" s="14"/>
      <c r="I237" s="2"/>
      <c r="J237" s="2"/>
      <c r="K237" s="2"/>
      <c r="L237" s="2"/>
      <c r="M237" s="2"/>
      <c r="N237" s="2"/>
      <c r="O237" s="2"/>
      <c r="P237" s="2"/>
      <c r="Q237" s="2"/>
      <c r="R237" s="2"/>
      <c r="S237" s="2"/>
      <c r="T237" s="2"/>
      <c r="V237" s="2"/>
      <c r="W237" s="2"/>
      <c r="X237" s="14"/>
      <c r="Y237" s="2"/>
      <c r="Z237" s="2"/>
      <c r="AA237" s="2"/>
      <c r="AB237" s="2"/>
      <c r="AC237" s="2"/>
      <c r="AD237" s="2"/>
      <c r="AE237" s="2"/>
      <c r="AF237" s="2"/>
      <c r="AG237" s="2"/>
      <c r="AH237" s="2"/>
      <c r="AI237" s="2"/>
      <c r="AJ237" s="2"/>
      <c r="AK237" s="2"/>
      <c r="AL237" s="14"/>
      <c r="AM237" s="2"/>
      <c r="AN237" s="2"/>
      <c r="AO237" s="2"/>
      <c r="AP237" s="2"/>
      <c r="AQ237" s="2"/>
      <c r="AR237" s="2"/>
      <c r="AS237" s="2"/>
      <c r="AT237" s="2"/>
      <c r="AU237" s="2"/>
      <c r="AV237" s="2"/>
      <c r="AX237" s="2"/>
      <c r="AY237" s="2"/>
      <c r="AZ237" s="14"/>
      <c r="BA237" s="2"/>
      <c r="BB237" s="2"/>
      <c r="BC237" s="2"/>
      <c r="BD237" s="2"/>
      <c r="BE237" s="2"/>
      <c r="BF237" s="2"/>
      <c r="BG237" s="2"/>
      <c r="BH237" s="2"/>
      <c r="BI237" s="2"/>
      <c r="BL237" s="2"/>
      <c r="BM237" s="2"/>
    </row>
    <row r="238" spans="4:65" hidden="1">
      <c r="F238" s="2"/>
      <c r="G238" s="2"/>
      <c r="H238" s="2"/>
      <c r="I238" s="2"/>
      <c r="J238" s="2"/>
      <c r="K238" s="2"/>
      <c r="L238" s="2"/>
      <c r="M238" s="2"/>
      <c r="N238" s="2"/>
      <c r="O238" s="2"/>
      <c r="P238" s="2"/>
      <c r="Q238" s="2"/>
      <c r="R238" s="2"/>
      <c r="S238" s="2"/>
      <c r="T238" s="2"/>
      <c r="V238" s="2"/>
      <c r="W238" s="2"/>
      <c r="X238" s="2"/>
      <c r="Y238" s="2"/>
      <c r="Z238" s="2"/>
      <c r="AA238" s="2"/>
      <c r="AB238" s="2"/>
      <c r="AC238" s="2"/>
      <c r="AD238" s="2"/>
      <c r="AE238" s="2"/>
      <c r="AF238" s="2"/>
      <c r="AG238" s="2"/>
      <c r="AH238" s="2"/>
      <c r="AI238" s="2"/>
      <c r="AJ238" s="2"/>
      <c r="AK238" s="2"/>
      <c r="AL238" s="2"/>
      <c r="AM238" s="2"/>
      <c r="AN238" s="2"/>
      <c r="AO238" s="2"/>
      <c r="AP238" s="2"/>
      <c r="AQ238" s="2"/>
      <c r="AR238" s="2"/>
      <c r="AS238" s="2"/>
      <c r="AT238" s="2"/>
      <c r="AU238" s="2"/>
      <c r="AV238" s="2"/>
      <c r="AX238" s="2"/>
      <c r="AY238" s="2"/>
      <c r="AZ238" s="2"/>
      <c r="BA238" s="2"/>
      <c r="BB238" s="2"/>
      <c r="BC238" s="2"/>
      <c r="BD238" s="2"/>
      <c r="BE238" s="2"/>
      <c r="BF238" s="2"/>
      <c r="BG238" s="2"/>
      <c r="BH238" s="2"/>
      <c r="BI238" s="2"/>
      <c r="BL238" s="2"/>
      <c r="BM238" s="2"/>
    </row>
    <row r="239" spans="4:65" hidden="1">
      <c r="F239" s="2"/>
      <c r="G239" s="12" t="s">
        <v>56</v>
      </c>
      <c r="H239" s="12" t="s">
        <v>71</v>
      </c>
      <c r="I239" s="2" t="s">
        <v>58</v>
      </c>
      <c r="J239" s="2" t="s">
        <v>58</v>
      </c>
      <c r="K239" s="12" t="s">
        <v>59</v>
      </c>
      <c r="L239" s="2" t="s">
        <v>60</v>
      </c>
      <c r="M239" s="2" t="s">
        <v>61</v>
      </c>
      <c r="N239" s="2" t="s">
        <v>62</v>
      </c>
      <c r="O239" s="2"/>
      <c r="P239" s="2"/>
      <c r="Q239" s="2"/>
      <c r="R239" s="2"/>
      <c r="S239" s="2"/>
      <c r="T239" s="2"/>
      <c r="V239" s="2"/>
      <c r="W239" s="12" t="s">
        <v>56</v>
      </c>
      <c r="X239" s="12" t="s">
        <v>71</v>
      </c>
      <c r="Y239" s="2" t="s">
        <v>58</v>
      </c>
      <c r="Z239" s="2" t="s">
        <v>58</v>
      </c>
      <c r="AA239" s="12" t="s">
        <v>59</v>
      </c>
      <c r="AB239" s="2" t="s">
        <v>60</v>
      </c>
      <c r="AC239" s="2" t="s">
        <v>61</v>
      </c>
      <c r="AD239" s="2" t="s">
        <v>62</v>
      </c>
      <c r="AE239" s="2"/>
      <c r="AF239" s="2"/>
      <c r="AG239" s="2"/>
      <c r="AH239" s="2"/>
      <c r="AI239" s="2"/>
      <c r="AJ239" s="2"/>
      <c r="AK239" s="12" t="s">
        <v>56</v>
      </c>
      <c r="AL239" s="12" t="s">
        <v>71</v>
      </c>
      <c r="AM239" s="2" t="s">
        <v>58</v>
      </c>
      <c r="AN239" s="2" t="s">
        <v>58</v>
      </c>
      <c r="AO239" s="12" t="s">
        <v>59</v>
      </c>
      <c r="AP239" s="2" t="s">
        <v>60</v>
      </c>
      <c r="AQ239" s="2" t="s">
        <v>61</v>
      </c>
      <c r="AR239" s="2" t="s">
        <v>62</v>
      </c>
      <c r="AS239" s="2"/>
      <c r="AT239" s="2"/>
      <c r="AU239" s="2"/>
      <c r="AV239" s="2"/>
      <c r="AX239" s="2"/>
      <c r="AY239" s="12" t="s">
        <v>56</v>
      </c>
      <c r="AZ239" s="12" t="s">
        <v>71</v>
      </c>
      <c r="BA239" s="2" t="s">
        <v>58</v>
      </c>
      <c r="BB239" s="2" t="s">
        <v>58</v>
      </c>
      <c r="BC239" s="12" t="s">
        <v>59</v>
      </c>
      <c r="BD239" s="2" t="s">
        <v>60</v>
      </c>
      <c r="BE239" s="2" t="s">
        <v>61</v>
      </c>
      <c r="BF239" s="2" t="s">
        <v>62</v>
      </c>
      <c r="BG239" s="2"/>
      <c r="BH239" s="2"/>
      <c r="BI239" s="2"/>
      <c r="BL239" s="2"/>
      <c r="BM239" s="2"/>
    </row>
    <row r="240" spans="4:65" hidden="1">
      <c r="F240" s="2">
        <v>1</v>
      </c>
      <c r="G240" s="3" t="s">
        <v>63</v>
      </c>
      <c r="H240" s="14">
        <f>IF(I185=1,0.001475, IF(I185=2, 0.0023, IF(I185=3, 0.0023, IF(I185=4, 0.0011, IF(I185=5, 0.0011, IF(I185=6, 0.0014, IF(I185=7, 0.0012, IF(I185=8,0.0012, IF(I185=9, 0.0012,"")))))))))</f>
        <v>2.3E-3</v>
      </c>
      <c r="I240" s="3" t="str">
        <f>IF((J$9=G240),F240,"")</f>
        <v/>
      </c>
      <c r="J240" s="3">
        <f>IFERROR(SMALL(I$240:I$241,F240),"")</f>
        <v>2</v>
      </c>
      <c r="K240" s="3">
        <v>70</v>
      </c>
      <c r="L240" s="3" t="b">
        <f>IF(J$240=F240,J$13*H240*12919)</f>
        <v>0</v>
      </c>
      <c r="M240" s="3" t="b">
        <f>IF(J$240=F240,J$14*H240*12919)</f>
        <v>0</v>
      </c>
      <c r="N240" s="3">
        <f>((((L240-M240)/1000)*0.000001)*J$7)</f>
        <v>0</v>
      </c>
      <c r="O240" s="2" t="s">
        <v>64</v>
      </c>
      <c r="P240" s="2"/>
      <c r="Q240" s="2"/>
      <c r="R240" s="2"/>
      <c r="S240" s="2"/>
      <c r="T240" s="2"/>
      <c r="V240" s="2">
        <v>1</v>
      </c>
      <c r="W240" s="3" t="s">
        <v>63</v>
      </c>
      <c r="X240" s="14">
        <f>IF(Y186=1,0.001475, IF(Y186=2, 0.0023, IF(Y186=3, 0.0023, IF(Y186=4, 0.0011, IF(Y186=5, 0.0011, IF(Y186=6, 0.0014, IF(Y186=7, 0.0012, IF(Y186=8,0.0012, IF(Y186=9, 0.0012,"")))))))))</f>
        <v>2.3E-3</v>
      </c>
      <c r="Y240" s="3" t="str">
        <f>IF((K$9=W240),V240,"")</f>
        <v/>
      </c>
      <c r="Z240" s="3">
        <f>IFERROR(SMALL(Y$240:Y$241,V240),"")</f>
        <v>2</v>
      </c>
      <c r="AA240" s="3">
        <v>70</v>
      </c>
      <c r="AB240" s="3" t="b">
        <f>IF(Z$240=V240,K$13*X240*12919)</f>
        <v>0</v>
      </c>
      <c r="AC240" s="3" t="b">
        <f>IF(Z$240=V240,K$14*X240*12919)</f>
        <v>0</v>
      </c>
      <c r="AD240" s="3">
        <f>((((AB240-AC240)/1000)*0.000001)*K$7)</f>
        <v>0</v>
      </c>
      <c r="AE240" s="2" t="s">
        <v>64</v>
      </c>
      <c r="AF240" s="2"/>
      <c r="AG240" s="2"/>
      <c r="AH240" s="2"/>
      <c r="AI240" s="2"/>
      <c r="AJ240" s="2">
        <v>1</v>
      </c>
      <c r="AK240" s="3" t="s">
        <v>63</v>
      </c>
      <c r="AL240" s="14">
        <f>IF(AM186=1,0.001475, IF(AM186=2, 0.0023, IF(AM186=3, 0.0023, IF(AM186=4, 0.0011, IF(AM186=5, 0.0011, IF(AM186=6, 0.0014, IF(AM186=7, 0.0012, IF(AM186=8,0.0012, IF(AM186=9, 0.0012,"")))))))))</f>
        <v>2.3E-3</v>
      </c>
      <c r="AM240" s="3" t="str">
        <f>IF((L$9=AK240),AJ240,"")</f>
        <v/>
      </c>
      <c r="AN240" s="3">
        <f>IFERROR(SMALL(AM$240:AM$241,AJ240),"")</f>
        <v>2</v>
      </c>
      <c r="AO240" s="3">
        <v>70</v>
      </c>
      <c r="AP240" s="3" t="b">
        <f>IF(AN$240=AJ240,L$13*AL240*12919)</f>
        <v>0</v>
      </c>
      <c r="AQ240" s="3" t="b">
        <f>IF(AN$240=AJ240,L$14*AL240*12919)</f>
        <v>0</v>
      </c>
      <c r="AR240" s="3">
        <f>((((AP240-AQ240)/1000)*0.000001)*L$7)</f>
        <v>0</v>
      </c>
      <c r="AS240" s="2" t="s">
        <v>64</v>
      </c>
      <c r="AT240" s="2"/>
      <c r="AU240" s="2"/>
      <c r="AV240" s="2"/>
      <c r="AX240" s="2">
        <v>1</v>
      </c>
      <c r="AY240" s="3" t="s">
        <v>63</v>
      </c>
      <c r="AZ240" s="14">
        <f>IF(BA186=1,0.001475, IF(BA186=2, 0.0023, IF(BA186=3, 0.0023, IF(BA186=4, 0.0011, IF(BA186=5, 0.0011, IF(BA186=6, 0.0014, IF(BA186=7, 0.0012, IF(BA186=8,0.0012, IF(BA186=9, 0.0012,"")))))))))</f>
        <v>2.3E-3</v>
      </c>
      <c r="BA240" s="3" t="str">
        <f>IF((M$9=AY240),AX240,"")</f>
        <v/>
      </c>
      <c r="BB240" s="3">
        <f>IFERROR(SMALL(BA$240:BA$241,AX240),"")</f>
        <v>2</v>
      </c>
      <c r="BC240" s="3">
        <v>70</v>
      </c>
      <c r="BD240" s="3" t="b">
        <f>IF(BB$240=AX240,M$13*AZ240*12919)</f>
        <v>0</v>
      </c>
      <c r="BE240" s="3" t="b">
        <f>IF(BB$240=AX240,M$14*AZ240*12919)</f>
        <v>0</v>
      </c>
      <c r="BF240" s="3">
        <f>((((BD240-BE240)/1000)*0.000001)*M$7)</f>
        <v>0</v>
      </c>
      <c r="BG240" s="2" t="s">
        <v>64</v>
      </c>
      <c r="BH240" s="2"/>
      <c r="BI240" s="2"/>
      <c r="BL240" s="2"/>
      <c r="BM240" s="2"/>
    </row>
    <row r="241" spans="6:65" hidden="1">
      <c r="F241" s="2">
        <v>2</v>
      </c>
      <c r="G241" s="3" t="s">
        <v>106</v>
      </c>
      <c r="H241" s="14">
        <f>IF(I185=1, 0.04461, IF(I185=2, 0.117, IF(I185=3, 0.117, IF(I185=4, 0.0783, IF(I185=5, 0.0409, IF(I185=6, 0.001, IF(I185=7, 0.0009, IF(I185=8, 0.0009, IF(I185=9, 0.0009,"")))))))))</f>
        <v>0.11700000000000001</v>
      </c>
      <c r="I241" s="3">
        <f>IF((J$9=G241),F241,"")</f>
        <v>2</v>
      </c>
      <c r="J241" s="3" t="str">
        <f>IFERROR(SMALL(I$240:I$241,F241),"")</f>
        <v/>
      </c>
      <c r="K241" s="3">
        <v>80</v>
      </c>
      <c r="L241" s="3">
        <f>IF(J$240=F241,J$13*H241*20787)</f>
        <v>121603950</v>
      </c>
      <c r="M241" s="3">
        <f>IF(J$240=F241,J$14*H241*20787)</f>
        <v>0</v>
      </c>
      <c r="N241" s="3">
        <f>((((L241-M241)/1000)*0.000001)*J$7)</f>
        <v>0.12160394999999999</v>
      </c>
      <c r="O241" s="2" t="s">
        <v>64</v>
      </c>
      <c r="P241" s="2"/>
      <c r="Q241" s="2"/>
      <c r="R241" s="2"/>
      <c r="S241" s="2"/>
      <c r="T241" s="2"/>
      <c r="V241" s="2">
        <v>2</v>
      </c>
      <c r="W241" s="3" t="s">
        <v>106</v>
      </c>
      <c r="X241" s="14">
        <f>IF(Y186=1, 0.04461, IF(Y186=2, 0.117, IF(Y186=3, 0.117, IF(Y186=4, 0.0783, IF(Y186=5, 0.0409, IF(Y186=6, 0.001, IF(Y186=7, 0.0009, IF(Y186=8, 0.0009, IF(Y186=9, 0.0009,"")))))))))</f>
        <v>0.11700000000000001</v>
      </c>
      <c r="Y241" s="3">
        <f>IF((K$9=W241),V241,"")</f>
        <v>2</v>
      </c>
      <c r="Z241" s="3" t="str">
        <f>IFERROR(SMALL(Y$240:Y$241,V241),"")</f>
        <v/>
      </c>
      <c r="AA241" s="3">
        <v>80</v>
      </c>
      <c r="AB241" s="3">
        <f>IF(Z$240=V241,K$13*X241*20787)</f>
        <v>121603950</v>
      </c>
      <c r="AC241" s="3">
        <f>IF(Z$240=V241,K$14*X241*20787)</f>
        <v>0</v>
      </c>
      <c r="AD241" s="3">
        <f>((((AB241-AC241)/1000)*0.000001)*K$7)</f>
        <v>0.12160394999999999</v>
      </c>
      <c r="AE241" s="2" t="s">
        <v>64</v>
      </c>
      <c r="AF241" s="2"/>
      <c r="AG241" s="2"/>
      <c r="AH241" s="2"/>
      <c r="AI241" s="2"/>
      <c r="AJ241" s="2">
        <v>2</v>
      </c>
      <c r="AK241" s="3" t="s">
        <v>106</v>
      </c>
      <c r="AL241" s="14">
        <f>IF(AM186=1, 0.04461, IF(AM186=2, 0.117, IF(AM186=3, 0.117, IF(AM186=4, 0.0783, IF(AM186=5, 0.0409, IF(AM186=6, 0.001, IF(AM186=7, 0.0009, IF(AM186=8, 0.0009, IF(AM186=9, 0.0009,"")))))))))</f>
        <v>0.11700000000000001</v>
      </c>
      <c r="AM241" s="3">
        <f>IF((L$9=AK241),AJ241,"")</f>
        <v>2</v>
      </c>
      <c r="AN241" s="3" t="str">
        <f>IFERROR(SMALL(AM$240:AM$241,AJ241),"")</f>
        <v/>
      </c>
      <c r="AO241" s="3">
        <v>80</v>
      </c>
      <c r="AP241" s="3">
        <f>IF(AN$240=AJ241,L$13*AL241*20787)</f>
        <v>121603950</v>
      </c>
      <c r="AQ241" s="3">
        <f>IF(AN$240=AJ241,L$14*AL241*20787)</f>
        <v>0</v>
      </c>
      <c r="AR241" s="3">
        <f>((((AP241-AQ241)/1000)*0.000001)*L$7)</f>
        <v>0.12160394999999999</v>
      </c>
      <c r="AS241" s="2" t="s">
        <v>64</v>
      </c>
      <c r="AT241" s="2"/>
      <c r="AU241" s="2"/>
      <c r="AV241" s="2"/>
      <c r="AX241" s="2">
        <v>2</v>
      </c>
      <c r="AY241" s="3" t="s">
        <v>106</v>
      </c>
      <c r="AZ241" s="14">
        <f>IF(BA186=1, 0.04461, IF(BA186=2, 0.117, IF(BA186=3, 0.117, IF(BA186=4, 0.0783, IF(BA186=5, 0.0409, IF(BA186=6, 0.001, IF(BA186=7, 0.0009, IF(BA186=8, 0.0009, IF(BA186=9, 0.0009,"")))))))))</f>
        <v>0.11700000000000001</v>
      </c>
      <c r="BA241" s="3">
        <f>IF((M$9=AY241),AX241,"")</f>
        <v>2</v>
      </c>
      <c r="BB241" s="3" t="str">
        <f>IFERROR(SMALL(BA$240:BA$241,AX241),"")</f>
        <v/>
      </c>
      <c r="BC241" s="3">
        <v>80</v>
      </c>
      <c r="BD241" s="3">
        <f>IF(BB$240=AX241,M$13*AZ241*20787)</f>
        <v>121603950</v>
      </c>
      <c r="BE241" s="3">
        <f>IF(BB$240=AX241,M$14*AZ241*20787)</f>
        <v>0</v>
      </c>
      <c r="BF241" s="3">
        <f>((((BD241-BE241)/1000)*0.000001)*M$7)</f>
        <v>0.12160394999999999</v>
      </c>
      <c r="BG241" s="2" t="s">
        <v>64</v>
      </c>
      <c r="BH241" s="2"/>
      <c r="BI241" s="2"/>
      <c r="BL241" s="2"/>
      <c r="BM241" s="2"/>
    </row>
    <row r="242" spans="6:65" hidden="1">
      <c r="F242" s="2"/>
      <c r="G242" s="2"/>
      <c r="H242" s="2"/>
      <c r="I242" s="2"/>
      <c r="J242" s="2"/>
      <c r="K242" s="2"/>
      <c r="L242" s="2"/>
      <c r="M242" s="2"/>
      <c r="N242" s="2"/>
      <c r="O242" s="2"/>
      <c r="P242" s="2"/>
      <c r="Q242" s="2"/>
      <c r="R242" s="2"/>
      <c r="S242" s="2"/>
      <c r="T242" s="2"/>
      <c r="V242" s="2"/>
      <c r="W242" s="2"/>
      <c r="X242" s="2"/>
      <c r="Y242" s="2"/>
      <c r="Z242" s="2"/>
      <c r="AA242" s="2"/>
      <c r="AB242" s="2"/>
      <c r="AC242" s="2"/>
      <c r="AD242" s="2"/>
      <c r="AE242" s="2"/>
      <c r="AF242" s="2"/>
      <c r="AG242" s="2"/>
      <c r="AH242" s="2"/>
      <c r="AI242" s="2"/>
      <c r="AJ242" s="2"/>
      <c r="AK242" s="2"/>
      <c r="AL242" s="2"/>
      <c r="AM242" s="2"/>
      <c r="AN242" s="2"/>
      <c r="AO242" s="2"/>
      <c r="AP242" s="2"/>
      <c r="AQ242" s="2"/>
      <c r="AR242" s="2"/>
      <c r="AS242" s="2"/>
      <c r="AT242" s="2"/>
      <c r="AU242" s="2"/>
      <c r="AV242" s="2"/>
      <c r="AX242" s="2"/>
      <c r="AY242" s="2"/>
      <c r="AZ242" s="2"/>
      <c r="BA242" s="2"/>
      <c r="BB242" s="2"/>
      <c r="BC242" s="2"/>
      <c r="BD242" s="2"/>
      <c r="BE242" s="2"/>
      <c r="BF242" s="2"/>
      <c r="BG242" s="2"/>
      <c r="BH242" s="2"/>
      <c r="BI242" s="2"/>
      <c r="BL242" s="2"/>
      <c r="BM242" s="2"/>
    </row>
    <row r="243" spans="6:65" s="123" customFormat="1" hidden="1">
      <c r="F243" s="126"/>
      <c r="G243" s="127" t="s">
        <v>56</v>
      </c>
      <c r="H243" s="127" t="s">
        <v>71</v>
      </c>
      <c r="I243" s="126" t="s">
        <v>58</v>
      </c>
      <c r="J243" s="126" t="s">
        <v>58</v>
      </c>
      <c r="K243" s="127" t="s">
        <v>59</v>
      </c>
      <c r="L243" s="126" t="s">
        <v>60</v>
      </c>
      <c r="M243" s="126" t="s">
        <v>61</v>
      </c>
      <c r="N243" s="126" t="s">
        <v>62</v>
      </c>
      <c r="O243" s="126"/>
      <c r="P243" s="126"/>
      <c r="Q243" s="126"/>
      <c r="R243" s="126"/>
      <c r="S243" s="126"/>
      <c r="T243" s="126"/>
      <c r="V243" s="126"/>
      <c r="W243" s="127" t="s">
        <v>56</v>
      </c>
      <c r="X243" s="127" t="s">
        <v>71</v>
      </c>
      <c r="Y243" s="126" t="s">
        <v>58</v>
      </c>
      <c r="Z243" s="126" t="s">
        <v>58</v>
      </c>
      <c r="AA243" s="127" t="s">
        <v>59</v>
      </c>
      <c r="AB243" s="126" t="s">
        <v>60</v>
      </c>
      <c r="AC243" s="126" t="s">
        <v>61</v>
      </c>
      <c r="AD243" s="126" t="s">
        <v>62</v>
      </c>
      <c r="AE243" s="126"/>
      <c r="AF243" s="126"/>
      <c r="AG243" s="126"/>
      <c r="AH243" s="126"/>
      <c r="AI243" s="126"/>
      <c r="AJ243" s="126"/>
      <c r="AK243" s="127" t="s">
        <v>56</v>
      </c>
      <c r="AL243" s="127" t="s">
        <v>71</v>
      </c>
      <c r="AM243" s="126" t="s">
        <v>58</v>
      </c>
      <c r="AN243" s="126" t="s">
        <v>58</v>
      </c>
      <c r="AO243" s="127" t="s">
        <v>59</v>
      </c>
      <c r="AP243" s="126" t="s">
        <v>60</v>
      </c>
      <c r="AQ243" s="126" t="s">
        <v>61</v>
      </c>
      <c r="AR243" s="126" t="s">
        <v>62</v>
      </c>
      <c r="AS243" s="126"/>
      <c r="AT243" s="126"/>
      <c r="AU243" s="126"/>
      <c r="AV243" s="126"/>
      <c r="AX243" s="126"/>
      <c r="AY243" s="127" t="s">
        <v>56</v>
      </c>
      <c r="AZ243" s="127" t="s">
        <v>71</v>
      </c>
      <c r="BA243" s="126" t="s">
        <v>58</v>
      </c>
      <c r="BB243" s="126" t="s">
        <v>58</v>
      </c>
      <c r="BC243" s="127" t="s">
        <v>59</v>
      </c>
      <c r="BD243" s="126" t="s">
        <v>60</v>
      </c>
      <c r="BE243" s="126" t="s">
        <v>61</v>
      </c>
      <c r="BF243" s="126" t="s">
        <v>62</v>
      </c>
      <c r="BG243" s="126"/>
      <c r="BH243" s="126"/>
      <c r="BI243" s="126"/>
      <c r="BL243" s="126"/>
      <c r="BM243" s="126"/>
    </row>
    <row r="244" spans="6:65" s="123" customFormat="1" hidden="1">
      <c r="F244" s="126">
        <v>1</v>
      </c>
      <c r="G244" s="128" t="s">
        <v>63</v>
      </c>
      <c r="H244" s="14">
        <f>IF(I197=1,0.001475, IF(I197=2, 0.0023, IF(I197=3, 0.0023, IF(I197=4, 0.0011, IF(I197=5, 0.0011, IF(I197=6, 0.0014, IF(I197=7, 0.0012, IF(I197=8,0.0012, IF(I197=9, 0.0012,"")))))))))</f>
        <v>1.475E-3</v>
      </c>
      <c r="I244" s="128">
        <f>IF((J$11=G244),F244,"")</f>
        <v>1</v>
      </c>
      <c r="J244" s="128">
        <f>IFERROR(SMALL(I$244:I$245,F244),"")</f>
        <v>1</v>
      </c>
      <c r="K244" s="128">
        <v>70</v>
      </c>
      <c r="L244" s="3">
        <f>IF(J$244=F244,J$13*H244*12919)</f>
        <v>952776.25</v>
      </c>
      <c r="M244" s="3">
        <f>IF(J$244=F244,J$14*H244*12919)</f>
        <v>0</v>
      </c>
      <c r="N244" s="3">
        <f>((((L244-M244)/1000)*0.000001)*J$7)</f>
        <v>9.5277624999999999E-4</v>
      </c>
      <c r="O244" s="126" t="s">
        <v>64</v>
      </c>
      <c r="P244" s="126"/>
      <c r="Q244" s="126"/>
      <c r="R244" s="126"/>
      <c r="S244" s="126"/>
      <c r="T244" s="126"/>
      <c r="V244" s="126">
        <v>1</v>
      </c>
      <c r="W244" s="128" t="s">
        <v>63</v>
      </c>
      <c r="X244" s="14">
        <f>IF(Y197=1,0.001475, IF(Y197=2, 0.0023, IF(Y197=3, 0.0023, IF(Y197=4, 0.0011, IF(Y197=5, 0.0011, IF(Y197=6, 0.0014, IF(Y197=7, 0.0012, IF(Y197=8,0.0012, IF(Y197=9, 0.0012,"")))))))))</f>
        <v>1.475E-3</v>
      </c>
      <c r="Y244" s="128">
        <f>IF((K$11=W244),V244,"")</f>
        <v>1</v>
      </c>
      <c r="Z244" s="128">
        <f>IFERROR(SMALL(Y$244:Y$245,V244),"")</f>
        <v>1</v>
      </c>
      <c r="AA244" s="128">
        <v>70</v>
      </c>
      <c r="AB244" s="3">
        <f>IF(Z$244=V244,K$13*X244*12919)</f>
        <v>952776.25</v>
      </c>
      <c r="AC244" s="3">
        <f>IF(Z$244=V244,K$14*X244*12919)</f>
        <v>0</v>
      </c>
      <c r="AD244" s="3">
        <f>((((AB244-AC244)/1000)*0.000001)*K$7)</f>
        <v>9.5277624999999999E-4</v>
      </c>
      <c r="AE244" s="126" t="s">
        <v>64</v>
      </c>
      <c r="AF244" s="126"/>
      <c r="AG244" s="126"/>
      <c r="AH244" s="126"/>
      <c r="AI244" s="126"/>
      <c r="AJ244" s="126">
        <v>1</v>
      </c>
      <c r="AK244" s="128" t="s">
        <v>63</v>
      </c>
      <c r="AL244" s="14">
        <f>IF(AM197=1,0.001475, IF(AM197=2, 0.0023, IF(AM197=3, 0.0023, IF(AM197=4, 0.0011, IF(AM197=5, 0.0011, IF(AM197=6, 0.0014, IF(AM197=7, 0.0012, IF(AM197=8,0.0012, IF(AM197=9, 0.0012,"")))))))))</f>
        <v>1.475E-3</v>
      </c>
      <c r="AM244" s="128">
        <f>IF((L$11=AK244),AJ244,"")</f>
        <v>1</v>
      </c>
      <c r="AN244" s="128">
        <f>IFERROR(SMALL(AM$244:AM$245,AJ244),"")</f>
        <v>1</v>
      </c>
      <c r="AO244" s="128">
        <v>70</v>
      </c>
      <c r="AP244" s="3">
        <f>IF(AN$244=AJ244,L$13*AL244*12919)</f>
        <v>952776.25</v>
      </c>
      <c r="AQ244" s="3">
        <f>IF(AN$244=AJ244,L$14*AL244*12919)</f>
        <v>0</v>
      </c>
      <c r="AR244" s="3">
        <f>((((AP244-AQ244)/1000)*0.000001)*L$7)</f>
        <v>9.5277624999999999E-4</v>
      </c>
      <c r="AS244" s="126" t="s">
        <v>64</v>
      </c>
      <c r="AT244" s="126"/>
      <c r="AU244" s="126"/>
      <c r="AV244" s="126"/>
      <c r="AX244" s="126">
        <v>1</v>
      </c>
      <c r="AY244" s="128" t="s">
        <v>63</v>
      </c>
      <c r="AZ244" s="14">
        <f>IF(BA197=1,0.001475, IF(BA197=2, 0.0023, IF(BA197=3, 0.0023, IF(BA197=4, 0.0011, IF(BA197=5, 0.0011, IF(BA197=6, 0.0014, IF(BA197=7, 0.0012, IF(BA197=8,0.0012, IF(BA197=9, 0.0012,"")))))))))</f>
        <v>1.475E-3</v>
      </c>
      <c r="BA244" s="128">
        <f>IF((M$11=AY244),AX244,"")</f>
        <v>1</v>
      </c>
      <c r="BB244" s="128">
        <f>IFERROR(SMALL(BA$244:BA$245,AX244),"")</f>
        <v>1</v>
      </c>
      <c r="BC244" s="128">
        <v>70</v>
      </c>
      <c r="BD244" s="3">
        <f>IF(BB$244=AX244,M$13*AZ244*12919)</f>
        <v>952776.25</v>
      </c>
      <c r="BE244" s="3">
        <f>IF(BB$244=AX244,M$14*AZ244*12919)</f>
        <v>0</v>
      </c>
      <c r="BF244" s="3">
        <f>((((BD244-BE244)/1000)*0.000001)*M$7)</f>
        <v>9.5277624999999999E-4</v>
      </c>
      <c r="BG244" s="126" t="s">
        <v>64</v>
      </c>
      <c r="BH244" s="126"/>
      <c r="BI244" s="126"/>
      <c r="BL244" s="126"/>
      <c r="BM244" s="126"/>
    </row>
    <row r="245" spans="6:65" s="123" customFormat="1" hidden="1">
      <c r="F245" s="126">
        <v>2</v>
      </c>
      <c r="G245" s="128" t="s">
        <v>106</v>
      </c>
      <c r="H245" s="14">
        <f>IF(I197=1, 0.04461, IF(I197=2, 0.117, IF(I197=3, 0.117, IF(I197=4, 0.0783, IF(I197=5, 0.0409, IF(I197=6, 0.001, IF(I197=7, 0.0009, IF(I197=8, 0.0009, IF(I197=9, 0.0009,"")))))))))</f>
        <v>4.4609999999999997E-2</v>
      </c>
      <c r="I245" s="128" t="str">
        <f>IF((J$11=G245),F245,"")</f>
        <v/>
      </c>
      <c r="J245" s="128" t="str">
        <f>IFERROR(SMALL(I$244:I$245,F245),"")</f>
        <v/>
      </c>
      <c r="K245" s="128">
        <v>80</v>
      </c>
      <c r="L245" s="3" t="b">
        <f>IF(J$244=F245,J$13*H245*20787)</f>
        <v>0</v>
      </c>
      <c r="M245" s="3" t="b">
        <f>IF(J$244=F245,J$14*H245*20787)</f>
        <v>0</v>
      </c>
      <c r="N245" s="3">
        <f>((((L245-M245)/1000)*0.000001)*J$7)</f>
        <v>0</v>
      </c>
      <c r="O245" s="126" t="s">
        <v>64</v>
      </c>
      <c r="P245" s="126"/>
      <c r="Q245" s="126"/>
      <c r="R245" s="126"/>
      <c r="S245" s="126"/>
      <c r="T245" s="126"/>
      <c r="V245" s="126">
        <v>2</v>
      </c>
      <c r="W245" s="128" t="s">
        <v>106</v>
      </c>
      <c r="X245" s="14">
        <f>IF(Y197=1, 0.04461, IF(Y197=2, 0.117, IF(Y197=3, 0.117, IF(Y197=4, 0.0783, IF(Y197=5, 0.0409, IF(Y197=6, 0.001, IF(Y197=7, 0.0009, IF(Y197=8, 0.0009, IF(Y197=9, 0.0009,"")))))))))</f>
        <v>4.4609999999999997E-2</v>
      </c>
      <c r="Y245" s="128" t="str">
        <f>IF((K$11=W245),V245,"")</f>
        <v/>
      </c>
      <c r="Z245" s="128" t="str">
        <f>IFERROR(SMALL(Y$244:Y$245,V245),"")</f>
        <v/>
      </c>
      <c r="AA245" s="128">
        <v>80</v>
      </c>
      <c r="AB245" s="3" t="b">
        <f>IF(Z$244=V245,K$13*X245*20787)</f>
        <v>0</v>
      </c>
      <c r="AC245" s="3" t="b">
        <f>IF(Z$244=V245,K$14*X245*20787)</f>
        <v>0</v>
      </c>
      <c r="AD245" s="3">
        <f>((((AB245-AC245)/1000)*0.000001)*K$7)</f>
        <v>0</v>
      </c>
      <c r="AE245" s="126" t="s">
        <v>64</v>
      </c>
      <c r="AF245" s="126"/>
      <c r="AG245" s="126"/>
      <c r="AH245" s="126"/>
      <c r="AI245" s="126"/>
      <c r="AJ245" s="126">
        <v>2</v>
      </c>
      <c r="AK245" s="128" t="s">
        <v>106</v>
      </c>
      <c r="AL245" s="14">
        <f>IF(AM197=1, 0.04461, IF(AM197=2, 0.117, IF(AM197=3, 0.117, IF(AM197=4, 0.0783, IF(AM197=5, 0.0409, IF(AM197=6, 0.001, IF(AM197=7, 0.0009, IF(AM197=8, 0.0009, IF(AM197=9, 0.0009,"")))))))))</f>
        <v>4.4609999999999997E-2</v>
      </c>
      <c r="AM245" s="128" t="str">
        <f>IF((L$11=AK245),AJ245,"")</f>
        <v/>
      </c>
      <c r="AN245" s="128" t="str">
        <f>IFERROR(SMALL(AM$244:AM$245,AJ245),"")</f>
        <v/>
      </c>
      <c r="AO245" s="128">
        <v>80</v>
      </c>
      <c r="AP245" s="3" t="b">
        <f>IF(AN$244=AJ245,L$13*AL245*20787)</f>
        <v>0</v>
      </c>
      <c r="AQ245" s="3" t="b">
        <f>IF(AN$244=AJ245,L$14*AL245*20787)</f>
        <v>0</v>
      </c>
      <c r="AR245" s="3">
        <f>((((AP245-AQ245)/1000)*0.000001)*L$7)</f>
        <v>0</v>
      </c>
      <c r="AS245" s="126" t="s">
        <v>64</v>
      </c>
      <c r="AT245" s="126"/>
      <c r="AU245" s="126"/>
      <c r="AV245" s="126"/>
      <c r="AX245" s="126">
        <v>2</v>
      </c>
      <c r="AY245" s="128" t="s">
        <v>106</v>
      </c>
      <c r="AZ245" s="14">
        <f>IF(BA197=1, 0.04461, IF(BA197=2, 0.117, IF(BA197=3, 0.117, IF(BA197=4, 0.0783, IF(BA197=5, 0.0409, IF(BA197=6, 0.001, IF(BA197=7, 0.0009, IF(BA197=8, 0.0009, IF(BA197=9, 0.0009,"")))))))))</f>
        <v>4.4609999999999997E-2</v>
      </c>
      <c r="BA245" s="128" t="str">
        <f>IF((M$11=AY245),AX245,"")</f>
        <v/>
      </c>
      <c r="BB245" s="128" t="str">
        <f>IFERROR(SMALL(BA$244:BA$245,AX245),"")</f>
        <v/>
      </c>
      <c r="BC245" s="128">
        <v>80</v>
      </c>
      <c r="BD245" s="3" t="b">
        <f>IF(BB$244=AX245,M$13*AZ245*20787)</f>
        <v>0</v>
      </c>
      <c r="BE245" s="3" t="b">
        <f>IF(BB$244=AX245,M$14*AZ245*20787)</f>
        <v>0</v>
      </c>
      <c r="BF245" s="3">
        <f>((((BD245-BE245)/1000)*0.000001)*M$7)</f>
        <v>0</v>
      </c>
      <c r="BG245" s="126" t="s">
        <v>64</v>
      </c>
      <c r="BH245" s="126"/>
      <c r="BI245" s="126"/>
      <c r="BL245" s="126"/>
      <c r="BM245" s="126"/>
    </row>
    <row r="246" spans="6:65" hidden="1">
      <c r="F246" s="2"/>
      <c r="G246" s="2"/>
      <c r="H246" s="2"/>
      <c r="I246" s="2"/>
      <c r="J246" s="2"/>
      <c r="K246" s="2"/>
      <c r="L246" s="2"/>
      <c r="M246" s="2"/>
      <c r="N246" s="2"/>
      <c r="O246" s="2"/>
      <c r="P246" s="2"/>
      <c r="Q246" s="2"/>
      <c r="R246" s="2"/>
      <c r="S246" s="2"/>
      <c r="T246" s="2"/>
      <c r="V246" s="2"/>
      <c r="W246" s="2"/>
      <c r="X246" s="2"/>
      <c r="Y246" s="2"/>
      <c r="Z246" s="2"/>
      <c r="AA246" s="2"/>
      <c r="AB246" s="2"/>
      <c r="AC246" s="2"/>
      <c r="AD246" s="2"/>
      <c r="AE246" s="2"/>
      <c r="AF246" s="2"/>
      <c r="AG246" s="2"/>
      <c r="AH246" s="2"/>
      <c r="AI246" s="2"/>
      <c r="AJ246" s="2"/>
      <c r="AK246" s="2"/>
      <c r="AL246" s="2"/>
      <c r="AM246" s="2"/>
      <c r="AN246" s="2"/>
      <c r="AO246" s="2"/>
      <c r="AP246" s="2"/>
      <c r="AQ246" s="2"/>
      <c r="AR246" s="2"/>
      <c r="AS246" s="2"/>
      <c r="AT246" s="2"/>
      <c r="AU246" s="2"/>
      <c r="AV246" s="2"/>
      <c r="AX246" s="2"/>
      <c r="AY246" s="2"/>
      <c r="AZ246" s="2"/>
      <c r="BA246" s="2"/>
      <c r="BB246" s="2"/>
      <c r="BC246" s="2"/>
      <c r="BD246" s="2"/>
      <c r="BE246" s="2"/>
      <c r="BF246" s="2"/>
      <c r="BG246" s="2"/>
      <c r="BH246" s="2"/>
      <c r="BI246" s="2"/>
      <c r="BL246" s="2"/>
      <c r="BM246" s="2"/>
    </row>
    <row r="247" spans="6:65" s="104" customFormat="1" hidden="1">
      <c r="F247" s="105"/>
      <c r="G247" s="105"/>
      <c r="H247" s="105"/>
      <c r="I247" s="105"/>
      <c r="J247" s="105"/>
      <c r="K247" s="105"/>
      <c r="L247" s="105"/>
      <c r="M247" s="105"/>
      <c r="N247" s="105"/>
      <c r="O247" s="105"/>
      <c r="P247" s="105"/>
      <c r="Q247" s="105"/>
      <c r="R247" s="105"/>
      <c r="S247" s="105"/>
      <c r="T247" s="105"/>
      <c r="V247" s="105"/>
      <c r="W247" s="105"/>
      <c r="X247" s="105"/>
      <c r="Y247" s="105"/>
      <c r="Z247" s="105"/>
      <c r="AA247" s="105"/>
      <c r="AB247" s="105"/>
      <c r="AC247" s="105"/>
      <c r="AD247" s="105"/>
      <c r="AE247" s="105"/>
      <c r="AF247" s="105"/>
      <c r="AG247" s="105"/>
      <c r="AH247" s="105"/>
      <c r="AI247" s="105"/>
      <c r="AJ247" s="105"/>
      <c r="AK247" s="105"/>
      <c r="AL247" s="105"/>
      <c r="AM247" s="105"/>
      <c r="AN247" s="105"/>
      <c r="AO247" s="105"/>
      <c r="AP247" s="105"/>
      <c r="AQ247" s="105"/>
      <c r="AR247" s="105"/>
      <c r="AS247" s="105"/>
      <c r="AT247" s="105"/>
      <c r="AU247" s="105"/>
      <c r="AV247" s="105"/>
      <c r="AX247" s="105"/>
      <c r="AY247" s="105"/>
      <c r="AZ247" s="105"/>
      <c r="BA247" s="105"/>
      <c r="BB247" s="105"/>
      <c r="BC247" s="105"/>
      <c r="BD247" s="105"/>
      <c r="BE247" s="105"/>
      <c r="BF247" s="105"/>
      <c r="BG247" s="105"/>
      <c r="BH247" s="105"/>
      <c r="BI247" s="105"/>
      <c r="BL247" s="105"/>
      <c r="BM247" s="105"/>
    </row>
    <row r="248" spans="6:65" hidden="1">
      <c r="F248" s="2"/>
      <c r="G248" s="16" t="s">
        <v>73</v>
      </c>
      <c r="H248" s="2"/>
      <c r="I248" s="2"/>
      <c r="J248" s="2"/>
      <c r="K248" s="2"/>
      <c r="L248" s="2"/>
      <c r="M248" s="2"/>
      <c r="N248" s="2"/>
      <c r="O248" s="2"/>
      <c r="P248" s="2"/>
      <c r="Q248" s="2"/>
      <c r="R248" s="2"/>
      <c r="S248" s="2"/>
      <c r="T248" s="2"/>
      <c r="V248" s="2"/>
      <c r="W248" s="2" t="s">
        <v>73</v>
      </c>
      <c r="X248" s="2"/>
      <c r="Y248" s="2"/>
      <c r="Z248" s="2"/>
      <c r="AA248" s="2"/>
      <c r="AB248" s="2"/>
      <c r="AC248" s="2"/>
      <c r="AD248" s="2"/>
      <c r="AE248" s="2"/>
      <c r="AF248" s="2"/>
      <c r="AG248" s="2"/>
      <c r="AH248" s="2"/>
      <c r="AI248" s="2"/>
      <c r="AJ248" s="2"/>
      <c r="AK248" s="2" t="s">
        <v>73</v>
      </c>
      <c r="AL248" s="2"/>
      <c r="AM248" s="2"/>
      <c r="AN248" s="2"/>
      <c r="AO248" s="2"/>
      <c r="AP248" s="2"/>
      <c r="AQ248" s="2"/>
      <c r="AR248" s="2"/>
      <c r="AS248" s="2"/>
      <c r="AT248" s="2"/>
      <c r="AU248" s="2"/>
      <c r="AV248" s="2"/>
      <c r="AX248" s="2"/>
      <c r="AY248" s="2" t="s">
        <v>73</v>
      </c>
      <c r="AZ248" s="2"/>
      <c r="BA248" s="2"/>
      <c r="BB248" s="2"/>
      <c r="BC248" s="2"/>
      <c r="BD248" s="2"/>
      <c r="BE248" s="2"/>
      <c r="BF248" s="2"/>
      <c r="BG248" s="2"/>
      <c r="BH248" s="2"/>
      <c r="BI248" s="2"/>
      <c r="BL248" s="2"/>
      <c r="BM248" s="2"/>
    </row>
    <row r="249" spans="6:65" hidden="1">
      <c r="F249" s="2"/>
      <c r="H249" s="2" t="s">
        <v>40</v>
      </c>
      <c r="I249" s="57" t="s">
        <v>40</v>
      </c>
      <c r="J249" s="2" t="s">
        <v>74</v>
      </c>
      <c r="K249" s="2"/>
      <c r="L249" s="2"/>
      <c r="M249" s="2" t="s">
        <v>40</v>
      </c>
      <c r="N249" s="2" t="s">
        <v>40</v>
      </c>
      <c r="O249" s="2"/>
      <c r="P249" s="2"/>
      <c r="Q249" s="2"/>
      <c r="R249" s="2"/>
      <c r="S249" s="2"/>
      <c r="T249" s="2"/>
      <c r="V249" s="2"/>
      <c r="X249" s="2" t="s">
        <v>40</v>
      </c>
      <c r="Y249" s="57" t="s">
        <v>40</v>
      </c>
      <c r="Z249" s="2" t="s">
        <v>74</v>
      </c>
      <c r="AA249" s="2"/>
      <c r="AB249" s="2"/>
      <c r="AC249" s="2" t="s">
        <v>40</v>
      </c>
      <c r="AD249" s="2" t="s">
        <v>40</v>
      </c>
      <c r="AE249" s="2"/>
      <c r="AF249" s="2"/>
      <c r="AG249" s="2"/>
      <c r="AH249" s="2"/>
      <c r="AI249" s="2"/>
      <c r="AJ249" s="2"/>
      <c r="AL249" s="2" t="s">
        <v>40</v>
      </c>
      <c r="AM249" s="57" t="s">
        <v>40</v>
      </c>
      <c r="AN249" s="2" t="s">
        <v>74</v>
      </c>
      <c r="AO249" s="2"/>
      <c r="AP249" s="2"/>
      <c r="AQ249" s="2" t="s">
        <v>40</v>
      </c>
      <c r="AR249" s="2" t="s">
        <v>40</v>
      </c>
      <c r="AS249" s="2"/>
      <c r="AT249" s="2"/>
      <c r="AU249" s="2"/>
      <c r="AV249" s="2"/>
      <c r="AX249" s="2"/>
      <c r="AZ249" s="2" t="s">
        <v>40</v>
      </c>
      <c r="BA249" s="57" t="s">
        <v>40</v>
      </c>
      <c r="BB249" s="2" t="s">
        <v>74</v>
      </c>
      <c r="BC249" s="2"/>
      <c r="BD249" s="2"/>
      <c r="BE249" s="2" t="s">
        <v>40</v>
      </c>
      <c r="BF249" s="2" t="s">
        <v>40</v>
      </c>
      <c r="BG249" s="2"/>
      <c r="BH249" s="2"/>
      <c r="BI249" s="2"/>
      <c r="BL249" s="2"/>
      <c r="BM249" s="2"/>
    </row>
    <row r="250" spans="6:65" hidden="1">
      <c r="F250" s="2">
        <v>1</v>
      </c>
      <c r="G250" s="2" t="s">
        <v>75</v>
      </c>
      <c r="H250" s="2" t="str">
        <f>IF((J$10=G250),F250,"")</f>
        <v/>
      </c>
      <c r="I250" s="57" t="str">
        <f>IFERROR(SMALL(H$250:H$251,F250),"")</f>
        <v/>
      </c>
      <c r="J250" s="2"/>
      <c r="K250" s="2">
        <v>1</v>
      </c>
      <c r="L250" s="2" t="s">
        <v>110</v>
      </c>
      <c r="M250" s="2" t="str">
        <f>IF((J$10=L250),K250,"")</f>
        <v/>
      </c>
      <c r="N250" s="2" t="str">
        <f>IFERROR(SMALL(M$250:M$258,K250),"")</f>
        <v/>
      </c>
      <c r="O250" s="2"/>
      <c r="P250" s="2"/>
      <c r="Q250" s="2"/>
      <c r="R250" s="2"/>
      <c r="S250" s="2"/>
      <c r="T250" s="2"/>
      <c r="V250" s="2">
        <v>1</v>
      </c>
      <c r="W250" s="2" t="s">
        <v>75</v>
      </c>
      <c r="X250" s="2" t="str">
        <f>IF((K$10=W250),V250,"")</f>
        <v/>
      </c>
      <c r="Y250" s="57" t="str">
        <f>IFERROR(SMALL(X$250:X$251,V250),"")</f>
        <v/>
      </c>
      <c r="Z250" s="2"/>
      <c r="AA250" s="2">
        <v>1</v>
      </c>
      <c r="AB250" s="2" t="s">
        <v>110</v>
      </c>
      <c r="AC250" s="2" t="str">
        <f>IF((K$10=AB250),AA250,"")</f>
        <v/>
      </c>
      <c r="AD250" s="2" t="str">
        <f>IFERROR(SMALL(AC$250:AC$258,AA250),"")</f>
        <v/>
      </c>
      <c r="AE250" s="2"/>
      <c r="AF250" s="2"/>
      <c r="AG250" s="2"/>
      <c r="AH250" s="2"/>
      <c r="AI250" s="2"/>
      <c r="AJ250" s="2">
        <v>1</v>
      </c>
      <c r="AK250" s="2" t="s">
        <v>75</v>
      </c>
      <c r="AL250" s="2" t="str">
        <f>IF((L$10=AK250),AJ250,"")</f>
        <v/>
      </c>
      <c r="AM250" s="57" t="str">
        <f>IFERROR(SMALL(AL$250:AL$251,AJ250),"")</f>
        <v/>
      </c>
      <c r="AN250" s="2"/>
      <c r="AO250" s="2">
        <v>1</v>
      </c>
      <c r="AP250" s="2" t="s">
        <v>110</v>
      </c>
      <c r="AQ250" s="2" t="str">
        <f>IF((L$10=AP250),AO250,"")</f>
        <v/>
      </c>
      <c r="AR250" s="2" t="str">
        <f>IFERROR(SMALL(AQ$250:AQ$257,AO250),"")</f>
        <v/>
      </c>
      <c r="AS250" s="2"/>
      <c r="AT250" s="2"/>
      <c r="AU250" s="2"/>
      <c r="AV250" s="2"/>
      <c r="AX250" s="2">
        <v>1</v>
      </c>
      <c r="AY250" s="2" t="s">
        <v>75</v>
      </c>
      <c r="AZ250" s="2" t="str">
        <f>IF((M$10=AY250),AX250,"")</f>
        <v/>
      </c>
      <c r="BA250" s="57" t="str">
        <f>IFERROR(SMALL(AZ$250,AX250),"")</f>
        <v/>
      </c>
      <c r="BB250" s="2"/>
      <c r="BC250" s="2">
        <v>1</v>
      </c>
      <c r="BD250" s="2" t="s">
        <v>110</v>
      </c>
      <c r="BE250" s="2" t="str">
        <f>IF((M$10=BD250),BC250,"")</f>
        <v/>
      </c>
      <c r="BF250" s="2" t="str">
        <f>IFERROR(SMALL(BE$250:BE$257,BC250),"")</f>
        <v/>
      </c>
      <c r="BG250" s="2"/>
      <c r="BH250" s="2"/>
      <c r="BI250" s="2"/>
      <c r="BL250" s="2"/>
      <c r="BM250" s="2"/>
    </row>
    <row r="251" spans="6:65" hidden="1">
      <c r="F251" s="2">
        <v>2</v>
      </c>
      <c r="G251" s="17" t="s">
        <v>13</v>
      </c>
      <c r="H251" s="2" t="str">
        <f>IF((J$10=G251),F251,"")</f>
        <v/>
      </c>
      <c r="I251" s="2"/>
      <c r="J251" s="2"/>
      <c r="K251" s="2">
        <v>2</v>
      </c>
      <c r="L251" s="2" t="s">
        <v>76</v>
      </c>
      <c r="M251" s="2" t="str">
        <f>IF((J$10=L251),K251,"")</f>
        <v/>
      </c>
      <c r="N251" s="2"/>
      <c r="O251" s="2"/>
      <c r="P251" s="2"/>
      <c r="Q251" s="2"/>
      <c r="R251" s="2"/>
      <c r="S251" s="2"/>
      <c r="T251" s="2"/>
      <c r="V251" s="2">
        <v>2</v>
      </c>
      <c r="W251" s="17" t="s">
        <v>13</v>
      </c>
      <c r="X251" s="2" t="str">
        <f>IF((K$10=W251),V251,"")</f>
        <v/>
      </c>
      <c r="Y251" s="2"/>
      <c r="Z251" s="2"/>
      <c r="AA251" s="2">
        <v>2</v>
      </c>
      <c r="AB251" s="2" t="s">
        <v>76</v>
      </c>
      <c r="AC251" s="2" t="str">
        <f t="shared" ref="AC251:AC258" si="88">IF((K$10=AB251),AA251,"")</f>
        <v/>
      </c>
      <c r="AD251" s="2"/>
      <c r="AE251" s="2"/>
      <c r="AF251" s="2"/>
      <c r="AG251" s="2"/>
      <c r="AH251" s="2"/>
      <c r="AI251" s="2"/>
      <c r="AJ251" s="2">
        <v>2</v>
      </c>
      <c r="AK251" s="17" t="s">
        <v>13</v>
      </c>
      <c r="AL251" s="2" t="str">
        <f>IF((L$10=AK251),AJ251,"")</f>
        <v/>
      </c>
      <c r="AM251" s="2"/>
      <c r="AN251" s="2"/>
      <c r="AO251" s="2">
        <v>2</v>
      </c>
      <c r="AP251" s="2" t="s">
        <v>76</v>
      </c>
      <c r="AQ251" s="2" t="str">
        <f t="shared" ref="AQ251:AQ257" si="89">IF((L$10=AP251),AO251,"")</f>
        <v/>
      </c>
      <c r="AR251" s="2"/>
      <c r="AS251" s="2"/>
      <c r="AT251" s="2"/>
      <c r="AU251" s="2"/>
      <c r="AV251" s="2"/>
      <c r="AX251" s="2">
        <v>2</v>
      </c>
      <c r="AY251" s="17" t="s">
        <v>13</v>
      </c>
      <c r="AZ251" s="2" t="str">
        <f>IF((M$10=AY251),AX251,"")</f>
        <v/>
      </c>
      <c r="BA251" s="2"/>
      <c r="BB251" s="2"/>
      <c r="BC251" s="2">
        <v>2</v>
      </c>
      <c r="BD251" s="2" t="s">
        <v>76</v>
      </c>
      <c r="BE251" s="2" t="str">
        <f t="shared" ref="BE251" si="90">IF((M$10=BD251),BC251,"")</f>
        <v/>
      </c>
      <c r="BF251" s="2"/>
      <c r="BG251" s="2"/>
      <c r="BH251" s="2"/>
      <c r="BI251" s="2"/>
      <c r="BL251" s="2"/>
      <c r="BM251" s="2"/>
    </row>
    <row r="252" spans="6:65" hidden="1">
      <c r="F252" s="2"/>
      <c r="G252" s="2"/>
      <c r="H252" s="2"/>
      <c r="I252" s="2"/>
      <c r="J252" s="2"/>
      <c r="K252" s="2">
        <v>3</v>
      </c>
      <c r="L252" s="2" t="s">
        <v>77</v>
      </c>
      <c r="M252" s="2" t="str">
        <f t="shared" ref="M252:M258" si="91">IF((J$10=L252),K252,"")</f>
        <v/>
      </c>
      <c r="N252" s="2"/>
      <c r="O252" s="2"/>
      <c r="P252" s="2"/>
      <c r="Q252" s="2"/>
      <c r="R252" s="2"/>
      <c r="S252" s="2"/>
      <c r="T252" s="2"/>
      <c r="V252" s="2"/>
      <c r="W252" s="2"/>
      <c r="X252" s="2"/>
      <c r="Y252" s="2"/>
      <c r="Z252" s="2"/>
      <c r="AA252" s="2">
        <v>3</v>
      </c>
      <c r="AB252" s="2" t="s">
        <v>77</v>
      </c>
      <c r="AC252" s="2" t="str">
        <f t="shared" si="88"/>
        <v/>
      </c>
      <c r="AD252" s="2"/>
      <c r="AE252" s="2"/>
      <c r="AF252" s="2"/>
      <c r="AG252" s="2"/>
      <c r="AH252" s="2"/>
      <c r="AI252" s="2"/>
      <c r="AJ252" s="2"/>
      <c r="AK252" s="2"/>
      <c r="AL252" s="2"/>
      <c r="AM252" s="2"/>
      <c r="AN252" s="2"/>
      <c r="AO252" s="2">
        <v>3</v>
      </c>
      <c r="AP252" s="2" t="s">
        <v>77</v>
      </c>
      <c r="AQ252" s="2" t="str">
        <f t="shared" si="89"/>
        <v/>
      </c>
      <c r="AR252" s="2"/>
      <c r="AS252" s="2"/>
      <c r="AT252" s="2"/>
      <c r="AU252" s="2"/>
      <c r="AV252" s="2"/>
      <c r="AX252" s="2"/>
      <c r="AY252" s="2"/>
      <c r="AZ252" s="2"/>
      <c r="BA252" s="2"/>
      <c r="BB252" s="2"/>
      <c r="BC252" s="2">
        <v>3</v>
      </c>
      <c r="BD252" s="2" t="s">
        <v>77</v>
      </c>
      <c r="BE252" s="2" t="str">
        <f t="shared" ref="BE252:BE257" si="92">IF((M$10=BD252),BC252,"")</f>
        <v/>
      </c>
      <c r="BF252" s="2"/>
      <c r="BG252" s="2"/>
      <c r="BH252" s="2"/>
      <c r="BI252" s="2"/>
      <c r="BL252" s="2"/>
      <c r="BM252" s="2"/>
    </row>
    <row r="253" spans="6:65" hidden="1">
      <c r="F253" s="2"/>
      <c r="G253" s="2"/>
      <c r="H253" s="2"/>
      <c r="I253" s="2"/>
      <c r="J253" s="2"/>
      <c r="K253" s="2">
        <v>4</v>
      </c>
      <c r="L253" s="2" t="s">
        <v>78</v>
      </c>
      <c r="M253" s="2" t="str">
        <f t="shared" si="91"/>
        <v/>
      </c>
      <c r="N253" s="2"/>
      <c r="O253" s="2"/>
      <c r="P253" s="2"/>
      <c r="Q253" s="2"/>
      <c r="R253" s="2"/>
      <c r="S253" s="2"/>
      <c r="T253" s="2"/>
      <c r="V253" s="2"/>
      <c r="W253" s="2"/>
      <c r="X253" s="2"/>
      <c r="Y253" s="2"/>
      <c r="Z253" s="2"/>
      <c r="AA253" s="2">
        <v>4</v>
      </c>
      <c r="AB253" s="2" t="s">
        <v>78</v>
      </c>
      <c r="AC253" s="2" t="str">
        <f t="shared" si="88"/>
        <v/>
      </c>
      <c r="AD253" s="2"/>
      <c r="AE253" s="2"/>
      <c r="AF253" s="2"/>
      <c r="AG253" s="2"/>
      <c r="AH253" s="2"/>
      <c r="AI253" s="2"/>
      <c r="AJ253" s="2"/>
      <c r="AK253" s="2"/>
      <c r="AL253" s="2"/>
      <c r="AM253" s="2"/>
      <c r="AN253" s="2"/>
      <c r="AO253" s="2">
        <v>4</v>
      </c>
      <c r="AP253" s="2" t="s">
        <v>78</v>
      </c>
      <c r="AQ253" s="2" t="str">
        <f t="shared" si="89"/>
        <v/>
      </c>
      <c r="AR253" s="2"/>
      <c r="AS253" s="2"/>
      <c r="AT253" s="2"/>
      <c r="AU253" s="2"/>
      <c r="AV253" s="2"/>
      <c r="AX253" s="2"/>
      <c r="AY253" s="2"/>
      <c r="AZ253" s="2"/>
      <c r="BA253" s="2"/>
      <c r="BB253" s="2"/>
      <c r="BC253" s="2">
        <v>4</v>
      </c>
      <c r="BD253" s="2" t="s">
        <v>78</v>
      </c>
      <c r="BE253" s="2" t="str">
        <f t="shared" si="92"/>
        <v/>
      </c>
      <c r="BF253" s="2"/>
      <c r="BG253" s="2"/>
      <c r="BH253" s="2"/>
      <c r="BI253" s="2"/>
      <c r="BL253" s="2"/>
      <c r="BM253" s="2"/>
    </row>
    <row r="254" spans="6:65" hidden="1">
      <c r="F254" s="2"/>
      <c r="G254" s="2"/>
      <c r="H254" s="2"/>
      <c r="I254" s="2"/>
      <c r="J254" s="2"/>
      <c r="K254" s="2">
        <v>5</v>
      </c>
      <c r="L254" s="2" t="s">
        <v>79</v>
      </c>
      <c r="M254" s="2" t="str">
        <f t="shared" si="91"/>
        <v/>
      </c>
      <c r="N254" s="2"/>
      <c r="O254" s="2"/>
      <c r="P254" s="2"/>
      <c r="Q254" s="2"/>
      <c r="R254" s="2"/>
      <c r="S254" s="2"/>
      <c r="T254" s="2"/>
      <c r="V254" s="2"/>
      <c r="W254" s="2"/>
      <c r="X254" s="2"/>
      <c r="Y254" s="2"/>
      <c r="Z254" s="2"/>
      <c r="AA254" s="2">
        <v>5</v>
      </c>
      <c r="AB254" s="2" t="s">
        <v>79</v>
      </c>
      <c r="AC254" s="2" t="str">
        <f t="shared" si="88"/>
        <v/>
      </c>
      <c r="AD254" s="2"/>
      <c r="AE254" s="2"/>
      <c r="AF254" s="2"/>
      <c r="AG254" s="2"/>
      <c r="AH254" s="2"/>
      <c r="AI254" s="2"/>
      <c r="AJ254" s="2"/>
      <c r="AK254" s="2"/>
      <c r="AL254" s="2"/>
      <c r="AM254" s="2"/>
      <c r="AN254" s="2"/>
      <c r="AO254" s="2">
        <v>5</v>
      </c>
      <c r="AP254" s="2" t="s">
        <v>79</v>
      </c>
      <c r="AQ254" s="2" t="str">
        <f t="shared" si="89"/>
        <v/>
      </c>
      <c r="AR254" s="2"/>
      <c r="AS254" s="2"/>
      <c r="AT254" s="2"/>
      <c r="AU254" s="2"/>
      <c r="AV254" s="2"/>
      <c r="AX254" s="2"/>
      <c r="AY254" s="2"/>
      <c r="AZ254" s="2"/>
      <c r="BA254" s="2"/>
      <c r="BB254" s="2"/>
      <c r="BC254" s="2">
        <v>5</v>
      </c>
      <c r="BD254" s="2" t="s">
        <v>79</v>
      </c>
      <c r="BE254" s="2" t="str">
        <f t="shared" si="92"/>
        <v/>
      </c>
      <c r="BF254" s="2"/>
      <c r="BG254" s="2"/>
      <c r="BH254" s="2"/>
      <c r="BI254" s="2"/>
      <c r="BL254" s="2"/>
      <c r="BM254" s="2"/>
    </row>
    <row r="255" spans="6:65" hidden="1">
      <c r="F255" s="2"/>
      <c r="G255" s="2"/>
      <c r="H255" s="2"/>
      <c r="I255" s="2"/>
      <c r="J255" s="2"/>
      <c r="K255" s="2">
        <v>6</v>
      </c>
      <c r="L255" s="2" t="s">
        <v>80</v>
      </c>
      <c r="M255" s="2" t="str">
        <f t="shared" si="91"/>
        <v/>
      </c>
      <c r="N255" s="2"/>
      <c r="O255" s="2"/>
      <c r="P255" s="2"/>
      <c r="Q255" s="2"/>
      <c r="R255" s="2"/>
      <c r="S255" s="2"/>
      <c r="T255" s="2"/>
      <c r="V255" s="2"/>
      <c r="W255" s="2"/>
      <c r="X255" s="2"/>
      <c r="Y255" s="2"/>
      <c r="Z255" s="2"/>
      <c r="AA255" s="2">
        <v>6</v>
      </c>
      <c r="AB255" s="2" t="s">
        <v>80</v>
      </c>
      <c r="AC255" s="2" t="str">
        <f t="shared" si="88"/>
        <v/>
      </c>
      <c r="AD255" s="2"/>
      <c r="AE255" s="2"/>
      <c r="AF255" s="2"/>
      <c r="AG255" s="2"/>
      <c r="AH255" s="2"/>
      <c r="AI255" s="2"/>
      <c r="AJ255" s="2"/>
      <c r="AK255" s="2"/>
      <c r="AL255" s="2"/>
      <c r="AM255" s="2"/>
      <c r="AN255" s="2"/>
      <c r="AO255" s="2">
        <v>6</v>
      </c>
      <c r="AP255" s="2" t="s">
        <v>80</v>
      </c>
      <c r="AQ255" s="2" t="str">
        <f t="shared" si="89"/>
        <v/>
      </c>
      <c r="AR255" s="2"/>
      <c r="AS255" s="2"/>
      <c r="AT255" s="2"/>
      <c r="AU255" s="2"/>
      <c r="AV255" s="2"/>
      <c r="AX255" s="2"/>
      <c r="AY255" s="2"/>
      <c r="AZ255" s="2"/>
      <c r="BA255" s="2"/>
      <c r="BB255" s="2"/>
      <c r="BC255" s="2">
        <v>6</v>
      </c>
      <c r="BD255" s="2" t="s">
        <v>80</v>
      </c>
      <c r="BE255" s="2" t="str">
        <f t="shared" si="92"/>
        <v/>
      </c>
      <c r="BF255" s="2"/>
      <c r="BG255" s="2"/>
      <c r="BH255" s="2"/>
      <c r="BI255" s="2"/>
      <c r="BL255" s="2"/>
      <c r="BM255" s="2"/>
    </row>
    <row r="256" spans="6:65" hidden="1">
      <c r="F256" s="2"/>
      <c r="G256" s="2"/>
      <c r="H256" s="2"/>
      <c r="I256" s="2"/>
      <c r="J256" s="2"/>
      <c r="K256" s="2">
        <v>7</v>
      </c>
      <c r="L256" s="2" t="s">
        <v>81</v>
      </c>
      <c r="M256" s="2" t="str">
        <f t="shared" si="91"/>
        <v/>
      </c>
      <c r="N256" s="2"/>
      <c r="O256" s="2"/>
      <c r="P256" s="2"/>
      <c r="Q256" s="2"/>
      <c r="R256" s="2"/>
      <c r="S256" s="2"/>
      <c r="T256" s="2"/>
      <c r="V256" s="2"/>
      <c r="W256" s="2"/>
      <c r="X256" s="2"/>
      <c r="Y256" s="2"/>
      <c r="Z256" s="2"/>
      <c r="AA256" s="2">
        <v>7</v>
      </c>
      <c r="AB256" s="2" t="s">
        <v>81</v>
      </c>
      <c r="AC256" s="2" t="str">
        <f t="shared" si="88"/>
        <v/>
      </c>
      <c r="AD256" s="2"/>
      <c r="AE256" s="2"/>
      <c r="AF256" s="2"/>
      <c r="AG256" s="2"/>
      <c r="AH256" s="2"/>
      <c r="AI256" s="2"/>
      <c r="AJ256" s="2"/>
      <c r="AK256" s="2"/>
      <c r="AL256" s="2"/>
      <c r="AM256" s="2"/>
      <c r="AN256" s="2"/>
      <c r="AO256" s="2">
        <v>7</v>
      </c>
      <c r="AP256" s="2" t="s">
        <v>81</v>
      </c>
      <c r="AQ256" s="2" t="str">
        <f t="shared" si="89"/>
        <v/>
      </c>
      <c r="AR256" s="2"/>
      <c r="AS256" s="2"/>
      <c r="AT256" s="2"/>
      <c r="AU256" s="2"/>
      <c r="AV256" s="2"/>
      <c r="AX256" s="2"/>
      <c r="AY256" s="2"/>
      <c r="AZ256" s="2"/>
      <c r="BA256" s="2"/>
      <c r="BB256" s="2"/>
      <c r="BC256" s="2">
        <v>7</v>
      </c>
      <c r="BD256" s="2" t="s">
        <v>81</v>
      </c>
      <c r="BE256" s="2" t="str">
        <f t="shared" si="92"/>
        <v/>
      </c>
      <c r="BF256" s="2"/>
      <c r="BG256" s="2"/>
      <c r="BH256" s="2"/>
      <c r="BI256" s="2"/>
      <c r="BL256" s="2"/>
      <c r="BM256" s="2"/>
    </row>
    <row r="257" spans="6:65" hidden="1">
      <c r="F257" s="2"/>
      <c r="G257" s="2"/>
      <c r="H257" s="2"/>
      <c r="I257" s="2"/>
      <c r="J257" s="2"/>
      <c r="K257" s="2">
        <v>8</v>
      </c>
      <c r="L257" s="2" t="s">
        <v>82</v>
      </c>
      <c r="M257" s="2" t="str">
        <f t="shared" si="91"/>
        <v/>
      </c>
      <c r="N257" s="2"/>
      <c r="O257" s="2"/>
      <c r="P257" s="2"/>
      <c r="Q257" s="2"/>
      <c r="R257" s="2"/>
      <c r="S257" s="2"/>
      <c r="T257" s="2"/>
      <c r="V257" s="2"/>
      <c r="W257" s="2"/>
      <c r="X257" s="2"/>
      <c r="Y257" s="2"/>
      <c r="Z257" s="2"/>
      <c r="AA257" s="2">
        <v>8</v>
      </c>
      <c r="AB257" s="2" t="s">
        <v>82</v>
      </c>
      <c r="AC257" s="2" t="str">
        <f t="shared" si="88"/>
        <v/>
      </c>
      <c r="AD257" s="2"/>
      <c r="AE257" s="2"/>
      <c r="AF257" s="2"/>
      <c r="AG257" s="2"/>
      <c r="AH257" s="2"/>
      <c r="AI257" s="2"/>
      <c r="AJ257" s="2"/>
      <c r="AK257" s="2"/>
      <c r="AL257" s="2"/>
      <c r="AM257" s="2"/>
      <c r="AN257" s="2"/>
      <c r="AO257" s="2">
        <v>8</v>
      </c>
      <c r="AP257" s="2" t="s">
        <v>82</v>
      </c>
      <c r="AQ257" s="2" t="str">
        <f t="shared" si="89"/>
        <v/>
      </c>
      <c r="AR257" s="2"/>
      <c r="AS257" s="2"/>
      <c r="AT257" s="2"/>
      <c r="AU257" s="2"/>
      <c r="AV257" s="2"/>
      <c r="AX257" s="2"/>
      <c r="AY257" s="2"/>
      <c r="AZ257" s="2"/>
      <c r="BA257" s="2"/>
      <c r="BB257" s="2"/>
      <c r="BC257" s="2">
        <v>8</v>
      </c>
      <c r="BD257" s="2" t="s">
        <v>82</v>
      </c>
      <c r="BE257" s="2" t="str">
        <f t="shared" si="92"/>
        <v/>
      </c>
      <c r="BF257" s="2"/>
      <c r="BG257" s="2"/>
      <c r="BH257" s="2"/>
      <c r="BI257" s="2"/>
      <c r="BL257" s="2"/>
      <c r="BM257" s="2"/>
    </row>
    <row r="258" spans="6:65" hidden="1">
      <c r="F258" s="2"/>
      <c r="G258" s="2"/>
      <c r="H258" s="2"/>
      <c r="I258" s="2"/>
      <c r="J258" s="2"/>
      <c r="K258" s="2">
        <v>9</v>
      </c>
      <c r="L258" s="17" t="s">
        <v>13</v>
      </c>
      <c r="M258" s="2" t="str">
        <f t="shared" si="91"/>
        <v/>
      </c>
      <c r="N258" s="2"/>
      <c r="O258" s="2"/>
      <c r="P258" s="2"/>
      <c r="Q258" s="2"/>
      <c r="R258" s="2"/>
      <c r="S258" s="2"/>
      <c r="T258" s="2"/>
      <c r="V258" s="2"/>
      <c r="W258" s="2"/>
      <c r="X258" s="2"/>
      <c r="Y258" s="2"/>
      <c r="Z258" s="2"/>
      <c r="AA258" s="2">
        <v>9</v>
      </c>
      <c r="AB258" s="17" t="s">
        <v>13</v>
      </c>
      <c r="AC258" s="2" t="str">
        <f t="shared" si="88"/>
        <v/>
      </c>
      <c r="AD258" s="2"/>
      <c r="AE258" s="2"/>
      <c r="AF258" s="2"/>
      <c r="AG258" s="2"/>
      <c r="AH258" s="2"/>
      <c r="AI258" s="2"/>
      <c r="AJ258" s="2"/>
      <c r="AK258" s="2"/>
      <c r="AL258" s="2"/>
      <c r="AM258" s="2"/>
      <c r="AN258" s="2"/>
      <c r="AO258" s="2"/>
      <c r="AP258" s="2"/>
      <c r="AQ258" s="2"/>
      <c r="AR258" s="2"/>
      <c r="AS258" s="2"/>
      <c r="AT258" s="2"/>
      <c r="AU258" s="2"/>
      <c r="AV258" s="2"/>
      <c r="AX258" s="2"/>
      <c r="AY258" s="2"/>
      <c r="AZ258" s="2"/>
      <c r="BA258" s="2"/>
      <c r="BB258" s="2"/>
      <c r="BC258" s="2"/>
      <c r="BD258" s="2"/>
      <c r="BE258" s="2"/>
      <c r="BF258" s="2"/>
      <c r="BG258" s="2"/>
      <c r="BH258" s="2"/>
      <c r="BI258" s="2"/>
      <c r="BL258" s="2"/>
      <c r="BM258" s="2"/>
    </row>
    <row r="259" spans="6:65" s="123" customFormat="1" hidden="1">
      <c r="F259" s="126"/>
      <c r="H259" s="126" t="s">
        <v>40</v>
      </c>
      <c r="I259" s="132" t="s">
        <v>40</v>
      </c>
      <c r="J259" s="126" t="s">
        <v>74</v>
      </c>
      <c r="K259" s="126"/>
      <c r="L259" s="126"/>
      <c r="M259" s="126" t="s">
        <v>40</v>
      </c>
      <c r="N259" s="126" t="s">
        <v>40</v>
      </c>
      <c r="O259" s="126"/>
      <c r="P259" s="126"/>
      <c r="Q259" s="126"/>
      <c r="R259" s="126"/>
      <c r="S259" s="126"/>
      <c r="T259" s="126"/>
      <c r="V259" s="126"/>
      <c r="X259" s="126" t="s">
        <v>40</v>
      </c>
      <c r="Y259" s="132" t="s">
        <v>40</v>
      </c>
      <c r="Z259" s="126" t="s">
        <v>74</v>
      </c>
      <c r="AA259" s="126"/>
      <c r="AB259" s="126"/>
      <c r="AC259" s="126" t="s">
        <v>40</v>
      </c>
      <c r="AD259" s="126" t="s">
        <v>40</v>
      </c>
      <c r="AE259" s="126"/>
      <c r="AF259" s="126"/>
      <c r="AG259" s="126"/>
      <c r="AH259" s="126"/>
      <c r="AI259" s="126"/>
      <c r="AJ259" s="126"/>
      <c r="AL259" s="126" t="s">
        <v>40</v>
      </c>
      <c r="AM259" s="132" t="s">
        <v>40</v>
      </c>
      <c r="AN259" s="126" t="s">
        <v>74</v>
      </c>
      <c r="AO259" s="126"/>
      <c r="AP259" s="126"/>
      <c r="AQ259" s="126" t="s">
        <v>40</v>
      </c>
      <c r="AR259" s="126" t="s">
        <v>40</v>
      </c>
      <c r="AS259" s="126"/>
      <c r="AT259" s="126"/>
      <c r="AU259" s="126"/>
      <c r="AV259" s="126"/>
      <c r="AX259" s="126"/>
      <c r="AZ259" s="126" t="s">
        <v>40</v>
      </c>
      <c r="BA259" s="132" t="s">
        <v>40</v>
      </c>
      <c r="BB259" s="126" t="s">
        <v>74</v>
      </c>
      <c r="BC259" s="126"/>
      <c r="BD259" s="126"/>
      <c r="BE259" s="126" t="s">
        <v>40</v>
      </c>
      <c r="BF259" s="126" t="s">
        <v>40</v>
      </c>
      <c r="BG259" s="126"/>
      <c r="BH259" s="126"/>
      <c r="BI259" s="126"/>
      <c r="BL259" s="126"/>
      <c r="BM259" s="126"/>
    </row>
    <row r="260" spans="6:65" s="123" customFormat="1" hidden="1">
      <c r="F260" s="126">
        <v>1</v>
      </c>
      <c r="G260" s="126" t="s">
        <v>75</v>
      </c>
      <c r="H260" s="126" t="str">
        <f>IF((J$12=G260),F260,"")</f>
        <v/>
      </c>
      <c r="I260" s="132" t="str">
        <f>IFERROR(SMALL(H$260:H$261,F260),"")</f>
        <v/>
      </c>
      <c r="J260" s="126"/>
      <c r="K260" s="126">
        <v>1</v>
      </c>
      <c r="L260" s="126" t="s">
        <v>110</v>
      </c>
      <c r="M260" s="126">
        <f>IF((J$12=L260),K260,"")</f>
        <v>1</v>
      </c>
      <c r="N260" s="126">
        <f>IFERROR(SMALL(M$260:M$268,K260),"")</f>
        <v>1</v>
      </c>
      <c r="O260" s="126"/>
      <c r="P260" s="126"/>
      <c r="Q260" s="126"/>
      <c r="R260" s="126"/>
      <c r="S260" s="126"/>
      <c r="T260" s="126"/>
      <c r="V260" s="126">
        <v>1</v>
      </c>
      <c r="W260" s="126" t="s">
        <v>75</v>
      </c>
      <c r="X260" s="126" t="str">
        <f>IF((K$12=W260),V260,"")</f>
        <v/>
      </c>
      <c r="Y260" s="132" t="str">
        <f>IFERROR(SMALL(X$260:X$261,V260),"")</f>
        <v/>
      </c>
      <c r="Z260" s="126"/>
      <c r="AA260" s="126">
        <v>1</v>
      </c>
      <c r="AB260" s="126" t="s">
        <v>110</v>
      </c>
      <c r="AC260" s="126">
        <f>IF((K$12=AB260),AA260,"")</f>
        <v>1</v>
      </c>
      <c r="AD260" s="126">
        <f>IFERROR(SMALL(AC$260:AC$267,AA260),"")</f>
        <v>1</v>
      </c>
      <c r="AE260" s="126"/>
      <c r="AF260" s="126"/>
      <c r="AG260" s="126"/>
      <c r="AH260" s="126"/>
      <c r="AI260" s="126"/>
      <c r="AJ260" s="126">
        <v>1</v>
      </c>
      <c r="AK260" s="126" t="s">
        <v>75</v>
      </c>
      <c r="AL260" s="126" t="str">
        <f>IF((L$12=AK260),AJ260,"")</f>
        <v/>
      </c>
      <c r="AM260" s="132" t="str">
        <f>IFERROR(SMALL(AL$260:AL$261,AJ260),"")</f>
        <v/>
      </c>
      <c r="AN260" s="126"/>
      <c r="AO260" s="126">
        <v>1</v>
      </c>
      <c r="AP260" s="126" t="s">
        <v>110</v>
      </c>
      <c r="AQ260" s="126">
        <f>IF((L$12=AP260),AO260,"")</f>
        <v>1</v>
      </c>
      <c r="AR260" s="126">
        <f>IFERROR(SMALL(AQ$260:AQ$267,AO260),"")</f>
        <v>1</v>
      </c>
      <c r="AS260" s="126"/>
      <c r="AT260" s="126"/>
      <c r="AU260" s="126"/>
      <c r="AV260" s="126"/>
      <c r="AX260" s="126">
        <v>1</v>
      </c>
      <c r="AY260" s="126" t="s">
        <v>75</v>
      </c>
      <c r="AZ260" s="126" t="str">
        <f>IF((M$12=AY260),AX260,"")</f>
        <v/>
      </c>
      <c r="BA260" s="132" t="str">
        <f>IFERROR(SMALL(AZ$260:AZ$261,AX260),"")</f>
        <v/>
      </c>
      <c r="BB260" s="126"/>
      <c r="BC260" s="126">
        <v>1</v>
      </c>
      <c r="BD260" s="126" t="s">
        <v>110</v>
      </c>
      <c r="BE260" s="126">
        <f>IF((M$12=BD260),BC260,"")</f>
        <v>1</v>
      </c>
      <c r="BF260" s="126">
        <f>IFERROR(SMALL(BE$260:BE$267,BC260),"")</f>
        <v>1</v>
      </c>
      <c r="BG260" s="126"/>
      <c r="BH260" s="126"/>
      <c r="BI260" s="126"/>
      <c r="BL260" s="126"/>
      <c r="BM260" s="126"/>
    </row>
    <row r="261" spans="6:65" s="123" customFormat="1" hidden="1">
      <c r="F261" s="126">
        <v>2</v>
      </c>
      <c r="G261" s="133" t="s">
        <v>13</v>
      </c>
      <c r="H261" s="126" t="str">
        <f>IF((J$12=G261),F261,"")</f>
        <v/>
      </c>
      <c r="I261" s="126"/>
      <c r="J261" s="126"/>
      <c r="K261" s="126">
        <v>2</v>
      </c>
      <c r="L261" s="126" t="s">
        <v>76</v>
      </c>
      <c r="M261" s="126" t="str">
        <f t="shared" ref="M261:M267" si="93">IF((J$12=L261),K261,"")</f>
        <v/>
      </c>
      <c r="N261" s="126" t="str">
        <f t="shared" ref="N261:N267" si="94">IFERROR(SMALL(M$260:M$268,K261),"")</f>
        <v/>
      </c>
      <c r="O261" s="126"/>
      <c r="P261" s="126"/>
      <c r="Q261" s="126"/>
      <c r="R261" s="126"/>
      <c r="S261" s="126"/>
      <c r="T261" s="126"/>
      <c r="V261" s="126">
        <v>2</v>
      </c>
      <c r="W261" s="133" t="s">
        <v>13</v>
      </c>
      <c r="X261" s="126" t="str">
        <f>IF((K$12=W261),V261,"")</f>
        <v/>
      </c>
      <c r="Y261" s="126"/>
      <c r="Z261" s="126"/>
      <c r="AA261" s="126">
        <v>2</v>
      </c>
      <c r="AB261" s="126" t="s">
        <v>76</v>
      </c>
      <c r="AC261" s="126" t="str">
        <f t="shared" ref="AC261:AC268" si="95">IF((K$12=AB261),AA261,"")</f>
        <v/>
      </c>
      <c r="AD261" s="126"/>
      <c r="AE261" s="126"/>
      <c r="AF261" s="126"/>
      <c r="AG261" s="126"/>
      <c r="AH261" s="126"/>
      <c r="AI261" s="126"/>
      <c r="AJ261" s="126">
        <v>2</v>
      </c>
      <c r="AK261" s="133" t="s">
        <v>13</v>
      </c>
      <c r="AL261" s="126" t="str">
        <f>IF((L$12=AK261),AJ261,"")</f>
        <v/>
      </c>
      <c r="AM261" s="126"/>
      <c r="AN261" s="126"/>
      <c r="AO261" s="126">
        <v>2</v>
      </c>
      <c r="AP261" s="126" t="s">
        <v>76</v>
      </c>
      <c r="AQ261" s="126" t="str">
        <f>IF((L$12=AP261),AO261,"")</f>
        <v/>
      </c>
      <c r="AR261" s="126"/>
      <c r="AS261" s="126"/>
      <c r="AT261" s="126"/>
      <c r="AU261" s="126"/>
      <c r="AV261" s="126"/>
      <c r="AX261" s="126">
        <v>2</v>
      </c>
      <c r="AY261" s="133" t="s">
        <v>13</v>
      </c>
      <c r="AZ261" s="126" t="str">
        <f>IF((M$12=AY261),AX261,"")</f>
        <v/>
      </c>
      <c r="BA261" s="126"/>
      <c r="BB261" s="126"/>
      <c r="BC261" s="126">
        <v>2</v>
      </c>
      <c r="BD261" s="126" t="s">
        <v>76</v>
      </c>
      <c r="BE261" s="126" t="str">
        <f t="shared" ref="BE261:BE267" si="96">IF((M$12=BD261),BC261,"")</f>
        <v/>
      </c>
      <c r="BF261" s="126"/>
      <c r="BG261" s="126"/>
      <c r="BH261" s="126"/>
      <c r="BI261" s="126"/>
      <c r="BL261" s="126"/>
      <c r="BM261" s="126"/>
    </row>
    <row r="262" spans="6:65" s="123" customFormat="1" hidden="1">
      <c r="F262" s="126"/>
      <c r="G262" s="126"/>
      <c r="H262" s="126"/>
      <c r="I262" s="126"/>
      <c r="J262" s="126"/>
      <c r="K262" s="126">
        <v>3</v>
      </c>
      <c r="L262" s="126" t="s">
        <v>77</v>
      </c>
      <c r="M262" s="126" t="str">
        <f t="shared" si="93"/>
        <v/>
      </c>
      <c r="N262" s="126" t="str">
        <f t="shared" si="94"/>
        <v/>
      </c>
      <c r="O262" s="126"/>
      <c r="P262" s="126"/>
      <c r="Q262" s="126"/>
      <c r="R262" s="126"/>
      <c r="S262" s="126"/>
      <c r="T262" s="126"/>
      <c r="V262" s="126"/>
      <c r="W262" s="126"/>
      <c r="X262" s="126"/>
      <c r="Y262" s="126"/>
      <c r="Z262" s="126"/>
      <c r="AA262" s="126">
        <v>3</v>
      </c>
      <c r="AB262" s="126" t="s">
        <v>77</v>
      </c>
      <c r="AC262" s="126" t="str">
        <f t="shared" si="95"/>
        <v/>
      </c>
      <c r="AD262" s="126"/>
      <c r="AE262" s="126"/>
      <c r="AF262" s="126"/>
      <c r="AG262" s="126"/>
      <c r="AH262" s="126"/>
      <c r="AI262" s="126"/>
      <c r="AJ262" s="126"/>
      <c r="AK262" s="126"/>
      <c r="AL262" s="126"/>
      <c r="AM262" s="126"/>
      <c r="AN262" s="126"/>
      <c r="AO262" s="126">
        <v>3</v>
      </c>
      <c r="AP262" s="126" t="s">
        <v>77</v>
      </c>
      <c r="AQ262" s="126" t="str">
        <f t="shared" ref="AQ262:AQ267" si="97">IF((L$12=AP262),AO262,"")</f>
        <v/>
      </c>
      <c r="AR262" s="126"/>
      <c r="AS262" s="126"/>
      <c r="AT262" s="126"/>
      <c r="AU262" s="126"/>
      <c r="AV262" s="126"/>
      <c r="AX262" s="126"/>
      <c r="AY262" s="126"/>
      <c r="AZ262" s="126"/>
      <c r="BA262" s="126"/>
      <c r="BB262" s="126"/>
      <c r="BC262" s="126">
        <v>3</v>
      </c>
      <c r="BD262" s="126" t="s">
        <v>77</v>
      </c>
      <c r="BE262" s="126" t="str">
        <f t="shared" si="96"/>
        <v/>
      </c>
      <c r="BF262" s="126"/>
      <c r="BG262" s="126"/>
      <c r="BH262" s="126"/>
      <c r="BI262" s="126"/>
      <c r="BL262" s="126"/>
      <c r="BM262" s="126"/>
    </row>
    <row r="263" spans="6:65" s="123" customFormat="1" hidden="1">
      <c r="F263" s="126"/>
      <c r="G263" s="126"/>
      <c r="H263" s="126"/>
      <c r="I263" s="126"/>
      <c r="J263" s="126"/>
      <c r="K263" s="126">
        <v>4</v>
      </c>
      <c r="L263" s="126" t="s">
        <v>78</v>
      </c>
      <c r="M263" s="126" t="str">
        <f t="shared" si="93"/>
        <v/>
      </c>
      <c r="N263" s="126" t="str">
        <f t="shared" si="94"/>
        <v/>
      </c>
      <c r="O263" s="126"/>
      <c r="P263" s="126"/>
      <c r="Q263" s="126"/>
      <c r="R263" s="126"/>
      <c r="S263" s="126"/>
      <c r="T263" s="126"/>
      <c r="V263" s="126"/>
      <c r="W263" s="126"/>
      <c r="X263" s="126"/>
      <c r="Y263" s="126"/>
      <c r="Z263" s="126"/>
      <c r="AA263" s="126">
        <v>4</v>
      </c>
      <c r="AB263" s="126" t="s">
        <v>78</v>
      </c>
      <c r="AC263" s="126" t="str">
        <f t="shared" si="95"/>
        <v/>
      </c>
      <c r="AD263" s="126"/>
      <c r="AE263" s="126"/>
      <c r="AF263" s="126"/>
      <c r="AG263" s="126"/>
      <c r="AH263" s="126"/>
      <c r="AI263" s="126"/>
      <c r="AJ263" s="126"/>
      <c r="AK263" s="126"/>
      <c r="AL263" s="126"/>
      <c r="AM263" s="126"/>
      <c r="AN263" s="126"/>
      <c r="AO263" s="126">
        <v>4</v>
      </c>
      <c r="AP263" s="126" t="s">
        <v>78</v>
      </c>
      <c r="AQ263" s="126" t="str">
        <f t="shared" si="97"/>
        <v/>
      </c>
      <c r="AR263" s="126"/>
      <c r="AS263" s="126"/>
      <c r="AT263" s="126"/>
      <c r="AU263" s="126"/>
      <c r="AV263" s="126"/>
      <c r="AX263" s="126"/>
      <c r="AY263" s="126"/>
      <c r="AZ263" s="126"/>
      <c r="BA263" s="126"/>
      <c r="BB263" s="126"/>
      <c r="BC263" s="126">
        <v>4</v>
      </c>
      <c r="BD263" s="126" t="s">
        <v>78</v>
      </c>
      <c r="BE263" s="126" t="str">
        <f t="shared" si="96"/>
        <v/>
      </c>
      <c r="BF263" s="126"/>
      <c r="BG263" s="126"/>
      <c r="BH263" s="126"/>
      <c r="BI263" s="126"/>
      <c r="BL263" s="126"/>
      <c r="BM263" s="126"/>
    </row>
    <row r="264" spans="6:65" s="123" customFormat="1" hidden="1">
      <c r="F264" s="126"/>
      <c r="G264" s="126"/>
      <c r="H264" s="126"/>
      <c r="I264" s="126"/>
      <c r="J264" s="126"/>
      <c r="K264" s="126">
        <v>5</v>
      </c>
      <c r="L264" s="126" t="s">
        <v>79</v>
      </c>
      <c r="M264" s="126" t="str">
        <f t="shared" si="93"/>
        <v/>
      </c>
      <c r="N264" s="126" t="str">
        <f t="shared" si="94"/>
        <v/>
      </c>
      <c r="O264" s="126"/>
      <c r="P264" s="126"/>
      <c r="Q264" s="126"/>
      <c r="R264" s="126"/>
      <c r="S264" s="126"/>
      <c r="T264" s="126"/>
      <c r="V264" s="126"/>
      <c r="W264" s="126"/>
      <c r="X264" s="126"/>
      <c r="Y264" s="126"/>
      <c r="Z264" s="126"/>
      <c r="AA264" s="126">
        <v>5</v>
      </c>
      <c r="AB264" s="126" t="s">
        <v>79</v>
      </c>
      <c r="AC264" s="126" t="str">
        <f t="shared" si="95"/>
        <v/>
      </c>
      <c r="AD264" s="126"/>
      <c r="AE264" s="126"/>
      <c r="AF264" s="126"/>
      <c r="AG264" s="126"/>
      <c r="AH264" s="126"/>
      <c r="AI264" s="126"/>
      <c r="AJ264" s="126"/>
      <c r="AK264" s="126"/>
      <c r="AL264" s="126"/>
      <c r="AM264" s="126"/>
      <c r="AN264" s="126"/>
      <c r="AO264" s="126">
        <v>5</v>
      </c>
      <c r="AP264" s="126" t="s">
        <v>79</v>
      </c>
      <c r="AQ264" s="126" t="str">
        <f t="shared" si="97"/>
        <v/>
      </c>
      <c r="AR264" s="126"/>
      <c r="AS264" s="126"/>
      <c r="AT264" s="126"/>
      <c r="AU264" s="126"/>
      <c r="AV264" s="126"/>
      <c r="AX264" s="126"/>
      <c r="AY264" s="126"/>
      <c r="AZ264" s="126"/>
      <c r="BA264" s="126"/>
      <c r="BB264" s="126"/>
      <c r="BC264" s="126">
        <v>5</v>
      </c>
      <c r="BD264" s="126" t="s">
        <v>79</v>
      </c>
      <c r="BE264" s="126" t="str">
        <f t="shared" si="96"/>
        <v/>
      </c>
      <c r="BF264" s="126"/>
      <c r="BG264" s="126"/>
      <c r="BH264" s="126"/>
      <c r="BI264" s="126"/>
      <c r="BL264" s="126"/>
      <c r="BM264" s="126"/>
    </row>
    <row r="265" spans="6:65" s="123" customFormat="1" hidden="1">
      <c r="F265" s="126"/>
      <c r="G265" s="126"/>
      <c r="H265" s="126"/>
      <c r="I265" s="126"/>
      <c r="J265" s="126"/>
      <c r="K265" s="126">
        <v>6</v>
      </c>
      <c r="L265" s="126" t="s">
        <v>80</v>
      </c>
      <c r="M265" s="126" t="str">
        <f t="shared" si="93"/>
        <v/>
      </c>
      <c r="N265" s="126" t="str">
        <f t="shared" si="94"/>
        <v/>
      </c>
      <c r="O265" s="126"/>
      <c r="P265" s="126"/>
      <c r="Q265" s="126"/>
      <c r="R265" s="126"/>
      <c r="S265" s="126"/>
      <c r="T265" s="126"/>
      <c r="V265" s="126"/>
      <c r="W265" s="126"/>
      <c r="X265" s="126"/>
      <c r="Y265" s="126"/>
      <c r="Z265" s="126"/>
      <c r="AA265" s="126">
        <v>6</v>
      </c>
      <c r="AB265" s="126" t="s">
        <v>80</v>
      </c>
      <c r="AC265" s="126" t="str">
        <f t="shared" si="95"/>
        <v/>
      </c>
      <c r="AD265" s="126"/>
      <c r="AE265" s="126"/>
      <c r="AF265" s="126"/>
      <c r="AG265" s="126"/>
      <c r="AH265" s="126"/>
      <c r="AI265" s="126"/>
      <c r="AJ265" s="126"/>
      <c r="AK265" s="126"/>
      <c r="AL265" s="126"/>
      <c r="AM265" s="126"/>
      <c r="AN265" s="126"/>
      <c r="AO265" s="126">
        <v>6</v>
      </c>
      <c r="AP265" s="126" t="s">
        <v>80</v>
      </c>
      <c r="AQ265" s="126" t="str">
        <f t="shared" si="97"/>
        <v/>
      </c>
      <c r="AR265" s="126"/>
      <c r="AS265" s="126"/>
      <c r="AT265" s="126"/>
      <c r="AU265" s="126"/>
      <c r="AV265" s="126"/>
      <c r="AX265" s="126"/>
      <c r="AY265" s="126"/>
      <c r="AZ265" s="126"/>
      <c r="BA265" s="126"/>
      <c r="BB265" s="126"/>
      <c r="BC265" s="126">
        <v>6</v>
      </c>
      <c r="BD265" s="126" t="s">
        <v>80</v>
      </c>
      <c r="BE265" s="126" t="str">
        <f t="shared" si="96"/>
        <v/>
      </c>
      <c r="BF265" s="126"/>
      <c r="BG265" s="126"/>
      <c r="BH265" s="126"/>
      <c r="BI265" s="126"/>
      <c r="BL265" s="126"/>
      <c r="BM265" s="126"/>
    </row>
    <row r="266" spans="6:65" s="123" customFormat="1" hidden="1">
      <c r="F266" s="126"/>
      <c r="G266" s="126"/>
      <c r="H266" s="126"/>
      <c r="I266" s="126"/>
      <c r="J266" s="126"/>
      <c r="K266" s="126">
        <v>7</v>
      </c>
      <c r="L266" s="126" t="s">
        <v>81</v>
      </c>
      <c r="M266" s="126" t="str">
        <f t="shared" si="93"/>
        <v/>
      </c>
      <c r="N266" s="126" t="str">
        <f t="shared" si="94"/>
        <v/>
      </c>
      <c r="O266" s="126"/>
      <c r="P266" s="126"/>
      <c r="Q266" s="126"/>
      <c r="R266" s="126"/>
      <c r="S266" s="126"/>
      <c r="T266" s="126"/>
      <c r="V266" s="126"/>
      <c r="W266" s="126"/>
      <c r="X266" s="126"/>
      <c r="Y266" s="126"/>
      <c r="Z266" s="126"/>
      <c r="AA266" s="126">
        <v>7</v>
      </c>
      <c r="AB266" s="126" t="s">
        <v>81</v>
      </c>
      <c r="AC266" s="126" t="str">
        <f t="shared" si="95"/>
        <v/>
      </c>
      <c r="AD266" s="126"/>
      <c r="AE266" s="126"/>
      <c r="AF266" s="126"/>
      <c r="AG266" s="126"/>
      <c r="AH266" s="126"/>
      <c r="AI266" s="126"/>
      <c r="AJ266" s="126"/>
      <c r="AK266" s="126"/>
      <c r="AL266" s="126"/>
      <c r="AM266" s="126"/>
      <c r="AN266" s="126"/>
      <c r="AO266" s="126">
        <v>7</v>
      </c>
      <c r="AP266" s="126" t="s">
        <v>81</v>
      </c>
      <c r="AQ266" s="126" t="str">
        <f t="shared" si="97"/>
        <v/>
      </c>
      <c r="AR266" s="126"/>
      <c r="AS266" s="126"/>
      <c r="AT266" s="126"/>
      <c r="AU266" s="126"/>
      <c r="AV266" s="126"/>
      <c r="AX266" s="126"/>
      <c r="AY266" s="126"/>
      <c r="AZ266" s="126"/>
      <c r="BA266" s="126"/>
      <c r="BB266" s="126"/>
      <c r="BC266" s="126">
        <v>7</v>
      </c>
      <c r="BD266" s="126" t="s">
        <v>81</v>
      </c>
      <c r="BE266" s="126" t="str">
        <f t="shared" si="96"/>
        <v/>
      </c>
      <c r="BF266" s="126"/>
      <c r="BG266" s="126"/>
      <c r="BH266" s="126"/>
      <c r="BI266" s="126"/>
      <c r="BL266" s="126"/>
      <c r="BM266" s="126"/>
    </row>
    <row r="267" spans="6:65" s="123" customFormat="1" hidden="1">
      <c r="F267" s="126"/>
      <c r="G267" s="126"/>
      <c r="H267" s="126"/>
      <c r="I267" s="126"/>
      <c r="J267" s="126"/>
      <c r="K267" s="126">
        <v>8</v>
      </c>
      <c r="L267" s="126" t="s">
        <v>82</v>
      </c>
      <c r="M267" s="126" t="str">
        <f t="shared" si="93"/>
        <v/>
      </c>
      <c r="N267" s="126" t="str">
        <f t="shared" si="94"/>
        <v/>
      </c>
      <c r="O267" s="126"/>
      <c r="P267" s="126"/>
      <c r="Q267" s="126"/>
      <c r="R267" s="126"/>
      <c r="S267" s="126"/>
      <c r="T267" s="126"/>
      <c r="V267" s="126"/>
      <c r="W267" s="126"/>
      <c r="X267" s="126"/>
      <c r="Y267" s="126"/>
      <c r="Z267" s="126"/>
      <c r="AA267" s="126">
        <v>8</v>
      </c>
      <c r="AB267" s="126" t="s">
        <v>82</v>
      </c>
      <c r="AC267" s="126" t="str">
        <f t="shared" si="95"/>
        <v/>
      </c>
      <c r="AD267" s="126"/>
      <c r="AE267" s="126"/>
      <c r="AF267" s="126"/>
      <c r="AG267" s="126"/>
      <c r="AH267" s="126"/>
      <c r="AI267" s="126"/>
      <c r="AJ267" s="126"/>
      <c r="AK267" s="126"/>
      <c r="AL267" s="126"/>
      <c r="AM267" s="126"/>
      <c r="AN267" s="126"/>
      <c r="AO267" s="126">
        <v>8</v>
      </c>
      <c r="AP267" s="126" t="s">
        <v>82</v>
      </c>
      <c r="AQ267" s="126" t="str">
        <f t="shared" si="97"/>
        <v/>
      </c>
      <c r="AR267" s="126"/>
      <c r="AS267" s="126"/>
      <c r="AT267" s="126"/>
      <c r="AU267" s="126"/>
      <c r="AV267" s="126"/>
      <c r="AX267" s="126"/>
      <c r="AY267" s="126"/>
      <c r="AZ267" s="126"/>
      <c r="BA267" s="126"/>
      <c r="BB267" s="126"/>
      <c r="BC267" s="126">
        <v>8</v>
      </c>
      <c r="BD267" s="126" t="s">
        <v>82</v>
      </c>
      <c r="BE267" s="126" t="str">
        <f t="shared" si="96"/>
        <v/>
      </c>
      <c r="BF267" s="126"/>
      <c r="BG267" s="126"/>
      <c r="BH267" s="126"/>
      <c r="BI267" s="126"/>
      <c r="BL267" s="126"/>
      <c r="BM267" s="126"/>
    </row>
    <row r="268" spans="6:65" s="123" customFormat="1" hidden="1">
      <c r="F268" s="126"/>
      <c r="G268" s="126"/>
      <c r="H268" s="126"/>
      <c r="I268" s="126"/>
      <c r="J268" s="126"/>
      <c r="K268" s="126">
        <v>9</v>
      </c>
      <c r="L268" s="133" t="s">
        <v>13</v>
      </c>
      <c r="M268" s="126" t="str">
        <f t="shared" ref="M268" si="98">IF((J$12=L268),K268,"")</f>
        <v/>
      </c>
      <c r="N268" s="126" t="str">
        <f>IFERROR(SMALL(M$260:M$268,K268),"")</f>
        <v/>
      </c>
      <c r="O268" s="126"/>
      <c r="P268" s="126"/>
      <c r="Q268" s="126"/>
      <c r="R268" s="126"/>
      <c r="S268" s="126"/>
      <c r="T268" s="126"/>
      <c r="V268" s="126"/>
      <c r="W268" s="126"/>
      <c r="X268" s="126"/>
      <c r="Y268" s="126"/>
      <c r="Z268" s="126"/>
      <c r="AA268" s="126">
        <v>9</v>
      </c>
      <c r="AB268" s="133" t="s">
        <v>13</v>
      </c>
      <c r="AC268" s="126" t="str">
        <f t="shared" si="95"/>
        <v/>
      </c>
      <c r="AD268" s="126"/>
      <c r="AE268" s="126"/>
      <c r="AF268" s="126"/>
      <c r="AG268" s="126"/>
      <c r="AH268" s="126"/>
      <c r="AI268" s="126"/>
      <c r="AJ268" s="126"/>
      <c r="AK268" s="126"/>
      <c r="AL268" s="126"/>
      <c r="AM268" s="126"/>
      <c r="AN268" s="126"/>
      <c r="AO268" s="126"/>
      <c r="AP268" s="126"/>
      <c r="AQ268" s="126"/>
      <c r="AR268" s="126"/>
      <c r="AS268" s="126"/>
      <c r="AT268" s="126"/>
      <c r="AU268" s="126"/>
      <c r="AV268" s="126"/>
      <c r="AX268" s="126"/>
      <c r="AY268" s="126"/>
      <c r="AZ268" s="126"/>
      <c r="BA268" s="126"/>
      <c r="BB268" s="126"/>
      <c r="BC268" s="126"/>
      <c r="BD268" s="126"/>
      <c r="BE268" s="126"/>
      <c r="BF268" s="126"/>
      <c r="BG268" s="126"/>
      <c r="BH268" s="126"/>
      <c r="BI268" s="126"/>
      <c r="BL268" s="126"/>
      <c r="BM268" s="126"/>
    </row>
    <row r="269" spans="6:65" hidden="1">
      <c r="F269" s="2"/>
      <c r="G269" s="2"/>
      <c r="H269" s="2"/>
      <c r="I269" s="2"/>
      <c r="J269" s="2"/>
      <c r="K269" s="2"/>
      <c r="L269" s="17"/>
      <c r="M269" s="2"/>
      <c r="N269" s="2"/>
      <c r="O269" s="2"/>
      <c r="P269" s="2"/>
      <c r="Q269" s="2"/>
      <c r="R269" s="2"/>
      <c r="S269" s="2"/>
      <c r="T269" s="2"/>
      <c r="V269" s="2"/>
      <c r="W269" s="2"/>
      <c r="X269" s="2"/>
      <c r="Y269" s="2"/>
      <c r="Z269" s="2"/>
      <c r="AA269" s="2"/>
      <c r="AB269" s="17"/>
      <c r="AC269" s="2"/>
      <c r="AD269" s="2"/>
      <c r="AE269" s="2"/>
      <c r="AF269" s="2"/>
      <c r="AG269" s="2"/>
      <c r="AH269" s="2"/>
      <c r="AI269" s="2"/>
      <c r="AJ269" s="2"/>
      <c r="AK269" s="2"/>
      <c r="AL269" s="2"/>
      <c r="AM269" s="2"/>
      <c r="AN269" s="2"/>
      <c r="AO269" s="2"/>
      <c r="AP269" s="2"/>
      <c r="AQ269" s="2"/>
      <c r="AR269" s="2"/>
      <c r="AS269" s="2"/>
      <c r="AT269" s="2"/>
      <c r="AU269" s="2"/>
      <c r="AV269" s="2"/>
      <c r="AX269" s="2"/>
      <c r="AY269" s="2"/>
      <c r="AZ269" s="2"/>
      <c r="BA269" s="2"/>
      <c r="BB269" s="2"/>
      <c r="BC269" s="2"/>
      <c r="BD269" s="2"/>
      <c r="BE269" s="2"/>
      <c r="BF269" s="2"/>
      <c r="BG269" s="2"/>
      <c r="BH269" s="2"/>
      <c r="BI269" s="2"/>
      <c r="BL269" s="2"/>
      <c r="BM269" s="2"/>
    </row>
    <row r="270" spans="6:65" hidden="1">
      <c r="F270" s="2"/>
      <c r="G270" s="2"/>
      <c r="H270" s="2"/>
      <c r="I270" s="2"/>
      <c r="J270" s="2"/>
      <c r="K270" s="2"/>
      <c r="L270" s="2"/>
      <c r="M270" s="2"/>
      <c r="N270" s="2"/>
      <c r="O270" s="2"/>
      <c r="P270" s="2"/>
      <c r="Q270" s="2"/>
      <c r="R270" s="2"/>
      <c r="S270" s="2"/>
      <c r="T270" s="2"/>
      <c r="V270" s="2"/>
      <c r="W270" s="2"/>
      <c r="X270" s="2"/>
      <c r="Y270" s="2"/>
      <c r="Z270" s="2"/>
      <c r="AA270" s="2"/>
      <c r="AB270" s="2"/>
      <c r="AC270" s="2"/>
      <c r="AD270" s="2"/>
      <c r="AE270" s="2"/>
      <c r="AF270" s="2"/>
      <c r="AG270" s="2"/>
      <c r="AH270" s="2"/>
      <c r="AI270" s="2"/>
      <c r="AJ270" s="2"/>
      <c r="AK270" s="2"/>
      <c r="AL270" s="2"/>
      <c r="AM270" s="2"/>
      <c r="AN270" s="2"/>
      <c r="AO270" s="2"/>
      <c r="AP270" s="2"/>
      <c r="AQ270" s="2"/>
      <c r="AR270" s="2"/>
      <c r="AS270" s="2"/>
      <c r="AT270" s="2"/>
      <c r="AU270" s="2"/>
      <c r="AV270" s="2"/>
      <c r="AX270" s="2"/>
      <c r="AY270" s="2"/>
      <c r="AZ270" s="2"/>
      <c r="BA270" s="2"/>
      <c r="BB270" s="2"/>
      <c r="BC270" s="2"/>
      <c r="BD270" s="2"/>
      <c r="BE270" s="2"/>
      <c r="BF270" s="2"/>
      <c r="BG270" s="2"/>
      <c r="BH270" s="2"/>
      <c r="BI270" s="2"/>
      <c r="BL270" s="2"/>
      <c r="BM270" s="2"/>
    </row>
    <row r="271" spans="6:65" hidden="1">
      <c r="F271" s="2"/>
      <c r="G271" s="2"/>
      <c r="H271" s="2"/>
      <c r="I271" s="12" t="s">
        <v>69</v>
      </c>
      <c r="J271" s="2" t="s">
        <v>58</v>
      </c>
      <c r="K271" s="2" t="s">
        <v>58</v>
      </c>
      <c r="L271" s="12" t="s">
        <v>59</v>
      </c>
      <c r="M271" s="2" t="s">
        <v>60</v>
      </c>
      <c r="N271" s="2" t="s">
        <v>61</v>
      </c>
      <c r="O271" s="2" t="s">
        <v>62</v>
      </c>
      <c r="P271" s="2"/>
      <c r="Q271" s="2"/>
      <c r="R271" s="2"/>
      <c r="S271" s="2"/>
      <c r="T271" s="2"/>
      <c r="V271" s="2"/>
      <c r="W271" s="2"/>
      <c r="X271" s="2"/>
      <c r="Y271" s="12" t="s">
        <v>69</v>
      </c>
      <c r="Z271" s="2" t="s">
        <v>58</v>
      </c>
      <c r="AA271" s="2" t="s">
        <v>58</v>
      </c>
      <c r="AB271" s="12" t="s">
        <v>59</v>
      </c>
      <c r="AC271" s="2" t="s">
        <v>60</v>
      </c>
      <c r="AD271" s="2" t="s">
        <v>61</v>
      </c>
      <c r="AE271" s="2" t="s">
        <v>62</v>
      </c>
      <c r="AF271" s="2"/>
      <c r="AG271" s="2"/>
      <c r="AH271" s="2"/>
      <c r="AI271" s="2"/>
      <c r="AJ271" s="2"/>
      <c r="AK271" s="2"/>
      <c r="AL271" s="2"/>
      <c r="AM271" s="12" t="s">
        <v>69</v>
      </c>
      <c r="AN271" s="2" t="s">
        <v>58</v>
      </c>
      <c r="AO271" s="2" t="s">
        <v>58</v>
      </c>
      <c r="AP271" s="12" t="s">
        <v>59</v>
      </c>
      <c r="AQ271" s="2" t="s">
        <v>60</v>
      </c>
      <c r="AR271" s="2" t="s">
        <v>61</v>
      </c>
      <c r="AS271" s="2" t="s">
        <v>62</v>
      </c>
      <c r="AT271" s="2"/>
      <c r="AU271" s="2"/>
      <c r="AV271" s="2"/>
      <c r="AX271" s="2"/>
      <c r="AY271" s="2"/>
      <c r="AZ271" s="2"/>
      <c r="BA271" s="12" t="s">
        <v>69</v>
      </c>
      <c r="BB271" s="2" t="s">
        <v>58</v>
      </c>
      <c r="BC271" s="2" t="s">
        <v>58</v>
      </c>
      <c r="BD271" s="12" t="s">
        <v>59</v>
      </c>
      <c r="BE271" s="2" t="s">
        <v>60</v>
      </c>
      <c r="BF271" s="2" t="s">
        <v>61</v>
      </c>
      <c r="BG271" s="2" t="s">
        <v>62</v>
      </c>
      <c r="BH271" s="2"/>
      <c r="BI271" s="2"/>
      <c r="BL271" s="2"/>
      <c r="BM271" s="2"/>
    </row>
    <row r="272" spans="6:65" hidden="1">
      <c r="F272" s="2">
        <v>1</v>
      </c>
      <c r="G272" s="3" t="s">
        <v>83</v>
      </c>
      <c r="H272" s="3"/>
      <c r="I272" s="3" t="str">
        <f>IF(I250=1,5.25,"")</f>
        <v/>
      </c>
      <c r="J272" s="3" t="str">
        <f t="shared" ref="J272:J277" si="99">IF((J$9=G272),F272,"")</f>
        <v/>
      </c>
      <c r="K272" s="3" t="str">
        <f>IFERROR(SMALL(J$272:J$276,F272),"")</f>
        <v/>
      </c>
      <c r="L272" s="3">
        <v>177</v>
      </c>
      <c r="M272" s="3" t="b">
        <f>IF(K$272=F272,J$13*I272*4281)</f>
        <v>0</v>
      </c>
      <c r="N272" s="3" t="b">
        <f>IF(K$272=F272,J$14*I272*4281)</f>
        <v>0</v>
      </c>
      <c r="O272" s="3">
        <f>(((M272-N272)/1000)*0.000001)*J$7</f>
        <v>0</v>
      </c>
      <c r="P272" s="2" t="s">
        <v>64</v>
      </c>
      <c r="Q272" s="2"/>
      <c r="R272" s="2"/>
      <c r="S272" s="2"/>
      <c r="T272" s="2"/>
      <c r="V272" s="2">
        <v>1</v>
      </c>
      <c r="W272" s="3" t="s">
        <v>83</v>
      </c>
      <c r="X272" s="3"/>
      <c r="Y272" s="3" t="str">
        <f>IF(Y250=1,5.25,"")</f>
        <v/>
      </c>
      <c r="Z272" s="3" t="str">
        <f>IF((K$9=W272),V272,"")</f>
        <v/>
      </c>
      <c r="AA272" s="3" t="str">
        <f>IFERROR(SMALL(Z$272:Z$276,V272),"")</f>
        <v/>
      </c>
      <c r="AB272" s="3">
        <v>177</v>
      </c>
      <c r="AC272" s="3" t="b">
        <f>IF(AA$272=V272,K$13*Y272*4281)</f>
        <v>0</v>
      </c>
      <c r="AD272" s="3" t="b">
        <f>IF(AA$272=V272,K$14*Y272*4281)</f>
        <v>0</v>
      </c>
      <c r="AE272" s="3">
        <f>(((AC272-AD272)/1000)*0.000001)*K$7</f>
        <v>0</v>
      </c>
      <c r="AF272" s="2" t="s">
        <v>64</v>
      </c>
      <c r="AG272" s="2"/>
      <c r="AH272" s="2"/>
      <c r="AI272" s="2"/>
      <c r="AJ272" s="2">
        <v>1</v>
      </c>
      <c r="AK272" s="3" t="s">
        <v>83</v>
      </c>
      <c r="AL272" s="3"/>
      <c r="AM272" s="3" t="str">
        <f>IF(AM250=1,5.25,"")</f>
        <v/>
      </c>
      <c r="AN272" s="3" t="str">
        <f>IF((L$9=AK272),AJ272,"")</f>
        <v/>
      </c>
      <c r="AO272" s="3" t="str">
        <f>IFERROR(SMALL(AN$272:AN$276,AJ272),"")</f>
        <v/>
      </c>
      <c r="AP272" s="3">
        <v>177</v>
      </c>
      <c r="AQ272" s="3" t="b">
        <f>IF(AO$272=AJ272,L$13*AM272*4281)</f>
        <v>0</v>
      </c>
      <c r="AR272" s="3" t="b">
        <f>IF(AO$272=AJ272,L$14*AM272*4281)</f>
        <v>0</v>
      </c>
      <c r="AS272" s="3">
        <f>(((AQ272-AR272)/1000)*0.000001)*L$7</f>
        <v>0</v>
      </c>
      <c r="AT272" s="2" t="s">
        <v>64</v>
      </c>
      <c r="AU272" s="2"/>
      <c r="AV272" s="2"/>
      <c r="AX272" s="2">
        <v>1</v>
      </c>
      <c r="AY272" s="3" t="s">
        <v>83</v>
      </c>
      <c r="AZ272" s="3"/>
      <c r="BA272" s="3" t="str">
        <f>IF(BA250=1,5.25,"")</f>
        <v/>
      </c>
      <c r="BB272" s="3" t="str">
        <f>IF((M$9=AY272),AX272,"")</f>
        <v/>
      </c>
      <c r="BC272" s="3" t="str">
        <f>IFERROR(SMALL(BB$272:BB$276,AX272),"")</f>
        <v/>
      </c>
      <c r="BD272" s="3">
        <v>177</v>
      </c>
      <c r="BE272" s="3" t="b">
        <f>IF(BC$272=AX272,M$13*BA272*4281)</f>
        <v>0</v>
      </c>
      <c r="BF272" s="3" t="b">
        <f>IF(BC$272=AX272,M$14*BA272*4281)</f>
        <v>0</v>
      </c>
      <c r="BG272" s="3">
        <f>(((BE272-BF272)/1000)*0.000001)*M$7</f>
        <v>0</v>
      </c>
      <c r="BH272" s="2" t="s">
        <v>64</v>
      </c>
      <c r="BI272" s="2"/>
      <c r="BL272" s="2" t="s">
        <v>64</v>
      </c>
      <c r="BM272" s="2"/>
    </row>
    <row r="273" spans="6:65" hidden="1">
      <c r="F273" s="2">
        <v>2</v>
      </c>
      <c r="G273" s="3" t="s">
        <v>151</v>
      </c>
      <c r="H273" s="3"/>
      <c r="I273" s="3" t="str">
        <f>IF(N250=1,0.06442,IF(N250=2,0.326,IF(N250=3,0.207,IF(N250=4,0.189,IF(N250=5,0.008,IF(N250=6,0.008,IF(N250=7,0.008,IF(N250=8,0.008,""))))))))</f>
        <v/>
      </c>
      <c r="J273" s="3" t="str">
        <f>IF((J$9=G273),F273,"")</f>
        <v/>
      </c>
      <c r="K273" s="3" t="str">
        <f t="shared" ref="K273:K276" si="100">IFERROR(SMALL(J$272:J$276,F273),"")</f>
        <v/>
      </c>
      <c r="L273" s="3">
        <v>101</v>
      </c>
      <c r="M273" s="3" t="b">
        <f>IF(K$272=F273,J$13*I273*23713)</f>
        <v>0</v>
      </c>
      <c r="N273" s="3" t="b">
        <f>IF(K$272=F273,J$14*I273*23713)</f>
        <v>0</v>
      </c>
      <c r="O273" s="3">
        <f t="shared" ref="O273:O276" si="101">(((M273-N273)/1000)*0.000001)*J$7</f>
        <v>0</v>
      </c>
      <c r="P273" s="2" t="s">
        <v>64</v>
      </c>
      <c r="Q273" s="2"/>
      <c r="R273" s="2"/>
      <c r="S273" s="2"/>
      <c r="T273" s="2"/>
      <c r="V273" s="2">
        <v>2</v>
      </c>
      <c r="W273" s="3" t="s">
        <v>151</v>
      </c>
      <c r="X273" s="3"/>
      <c r="Y273" s="3" t="str">
        <f>IF(AD250=1,0.06442,IF(AD250=2,0.326,IF(AD250=3,0.207,IF(AD250=4,0.189,IF(AD250=5,0.008,IF(AD250=6,0.008,IF(AD250=7,0.008,IF(AD250=8,0.008,""))))))))</f>
        <v/>
      </c>
      <c r="Z273" s="3" t="str">
        <f>IF((K$9=W273),V273,"")</f>
        <v/>
      </c>
      <c r="AA273" s="3" t="str">
        <f>IFERROR(SMALL(Z$272:Z$276,V273),"")</f>
        <v/>
      </c>
      <c r="AB273" s="3">
        <v>101</v>
      </c>
      <c r="AC273" s="3" t="b">
        <f>IF(AA$272=V273,K$13*Y273*23713)</f>
        <v>0</v>
      </c>
      <c r="AD273" s="3" t="b">
        <f>IF(AA$272=V273,K$14*Y273*23713)</f>
        <v>0</v>
      </c>
      <c r="AE273" s="3">
        <f>(((AC273-AD273)/1000)*0.000001)*K$7</f>
        <v>0</v>
      </c>
      <c r="AF273" s="2" t="s">
        <v>64</v>
      </c>
      <c r="AG273" s="2"/>
      <c r="AH273" s="2"/>
      <c r="AI273" s="2"/>
      <c r="AJ273" s="2">
        <v>2</v>
      </c>
      <c r="AK273" s="3" t="s">
        <v>151</v>
      </c>
      <c r="AL273" s="3"/>
      <c r="AM273" s="3" t="str">
        <f>IF(AR250=1,0.06442,IF(AR250=2,0.326,IF(AR250=3,0.207,IF(AR250=4,0.189,IF(AR250=5,0.008,IF(AR250=6,0.008,IF(AR250=7,0.008,IF(AR250=8,0.008,""))))))))</f>
        <v/>
      </c>
      <c r="AN273" s="3" t="str">
        <f>IF((L$9=AK273),AJ273,"")</f>
        <v/>
      </c>
      <c r="AO273" s="3" t="str">
        <f t="shared" ref="AO273:AO276" si="102">IFERROR(SMALL(AN$272:AN$276,AJ273),"")</f>
        <v/>
      </c>
      <c r="AP273" s="3">
        <v>101</v>
      </c>
      <c r="AQ273" s="3" t="b">
        <f>IF(AO$272=AJ273,L$13*AM273*23713)</f>
        <v>0</v>
      </c>
      <c r="AR273" s="3" t="b">
        <f>IF(AO$272=AJ273,L$14*AM273*23713)</f>
        <v>0</v>
      </c>
      <c r="AS273" s="3">
        <f>(((AQ273-AR273)/1000)*0.000001)*L$7</f>
        <v>0</v>
      </c>
      <c r="AT273" s="2" t="s">
        <v>64</v>
      </c>
      <c r="AU273" s="2"/>
      <c r="AV273" s="2"/>
      <c r="AX273" s="2">
        <v>2</v>
      </c>
      <c r="AY273" s="3" t="s">
        <v>151</v>
      </c>
      <c r="AZ273" s="3"/>
      <c r="BA273" s="3" t="str">
        <f>IF(BF250=1,0.06442,IF(BF250=2,0.326,IF(BF250=3,0.207,IF(BF250=4,0.189,IF(BF250=5,0.008,IF(BF250=6,0.008,IF(BF250=7,0.008,IF(BF250=8,0.008,""))))))))</f>
        <v/>
      </c>
      <c r="BB273" s="3" t="str">
        <f t="shared" ref="BB273:BB276" si="103">IF((M$9=AY273),AX273,"")</f>
        <v/>
      </c>
      <c r="BC273" s="3" t="str">
        <f t="shared" ref="BC273:BC276" si="104">IFERROR(SMALL(BB$272:BB$276,AX273),"")</f>
        <v/>
      </c>
      <c r="BD273" s="3">
        <v>101</v>
      </c>
      <c r="BE273" s="3" t="b">
        <f>IF(BC$272=AX273,M$13*BA273*23713)</f>
        <v>0</v>
      </c>
      <c r="BF273" s="3" t="b">
        <f>IF(BC$272=AX273,M$14*BA273*23713)</f>
        <v>0</v>
      </c>
      <c r="BG273" s="3">
        <f>(((BE273-BF273)/1000)*0.000001)*M$7</f>
        <v>0</v>
      </c>
      <c r="BH273" s="2" t="s">
        <v>64</v>
      </c>
      <c r="BI273" s="2"/>
      <c r="BL273" s="2" t="s">
        <v>64</v>
      </c>
      <c r="BM273" s="2"/>
    </row>
    <row r="274" spans="6:65" hidden="1">
      <c r="F274" s="2">
        <v>3</v>
      </c>
      <c r="G274" s="3" t="s">
        <v>152</v>
      </c>
      <c r="H274" s="3"/>
      <c r="I274" s="3" t="str">
        <f>(IF(N250=1,0.10771, IF(N250=2, 0.326, IF(N250=3, 0.207, IF(N250=4, 0.189, IF(N250=5, 0.008, IF(N250=6, 0.008, IF(N250=7, 0.008, IF(N250=8, 0.008,"")))))))))</f>
        <v/>
      </c>
      <c r="J274" s="3" t="str">
        <f t="shared" si="99"/>
        <v/>
      </c>
      <c r="K274" s="3" t="str">
        <f t="shared" si="100"/>
        <v/>
      </c>
      <c r="L274" s="3">
        <v>155</v>
      </c>
      <c r="M274" s="3" t="b">
        <f>IF(K$272=F274,J$13*I274*39994)</f>
        <v>0</v>
      </c>
      <c r="N274" s="3" t="b">
        <f>IF(K$272=F274,J$14*I274*39994)</f>
        <v>0</v>
      </c>
      <c r="O274" s="3">
        <f t="shared" si="101"/>
        <v>0</v>
      </c>
      <c r="P274" s="2" t="s">
        <v>64</v>
      </c>
      <c r="Q274" s="2"/>
      <c r="R274" s="2"/>
      <c r="S274" s="2"/>
      <c r="T274" s="2"/>
      <c r="V274" s="2">
        <v>3</v>
      </c>
      <c r="W274" s="3" t="s">
        <v>152</v>
      </c>
      <c r="X274" s="3"/>
      <c r="Y274" s="3" t="str">
        <f>(IF(AD250=1,0.10771, IF(AD250=2, 0.326, IF(AD250=3, 0.207, IF(AD250=4, 0.189, IF(AD250=5, 0.008, IF(AD250=6, 0.008, IF(AD250=7, 0.008, IF(AD250=8, 0.008,"")))))))))</f>
        <v/>
      </c>
      <c r="Z274" s="3" t="str">
        <f>IF((K$9=W274),V274,"")</f>
        <v/>
      </c>
      <c r="AA274" s="3" t="str">
        <f>IFERROR(SMALL(Z$272:Z$276,V274),"")</f>
        <v/>
      </c>
      <c r="AB274" s="3">
        <v>155</v>
      </c>
      <c r="AC274" s="3" t="b">
        <f>IF(AA$272=V274,K$13*Y274*39994)</f>
        <v>0</v>
      </c>
      <c r="AD274" s="3" t="b">
        <f>IF(AA$272=V274,K$14*Y274*39994)</f>
        <v>0</v>
      </c>
      <c r="AE274" s="3">
        <f>(((AC274-AD274)/1000)*0.000001)*K$7</f>
        <v>0</v>
      </c>
      <c r="AF274" s="2" t="s">
        <v>64</v>
      </c>
      <c r="AG274" s="2"/>
      <c r="AH274" s="2"/>
      <c r="AI274" s="2"/>
      <c r="AJ274" s="2">
        <v>3</v>
      </c>
      <c r="AK274" s="3" t="s">
        <v>152</v>
      </c>
      <c r="AL274" s="3"/>
      <c r="AM274" s="3" t="str">
        <f>(IF(AR250=1,0.10771, IF(AR250=2, 0.326, IF(AR250=3, 0.207, IF(AR250=4, 0.189, IF(AR250=5, 0.008, IF(AR250=6, 0.008, IF(AR250=7, 0.008, IF(AR250=8, 0.008,"")))))))))</f>
        <v/>
      </c>
      <c r="AN274" s="3" t="str">
        <f>IF((L$9=AK274),AJ274,"")</f>
        <v/>
      </c>
      <c r="AO274" s="3" t="str">
        <f t="shared" si="102"/>
        <v/>
      </c>
      <c r="AP274" s="3">
        <v>155</v>
      </c>
      <c r="AQ274" s="3" t="b">
        <f>IF(AO$272=AJ274,L$13*AM274*39994)</f>
        <v>0</v>
      </c>
      <c r="AR274" s="3" t="b">
        <f>IF(AO$272=AJ274,L$14*AM274*39994)</f>
        <v>0</v>
      </c>
      <c r="AS274" s="3">
        <f>(((AQ274-AR274)/1000)*0.000001)*L$7</f>
        <v>0</v>
      </c>
      <c r="AT274" s="2" t="s">
        <v>64</v>
      </c>
      <c r="AU274" s="2"/>
      <c r="AV274" s="2"/>
      <c r="AX274" s="2">
        <v>3</v>
      </c>
      <c r="AY274" s="3" t="s">
        <v>152</v>
      </c>
      <c r="AZ274" s="3"/>
      <c r="BA274" s="3" t="str">
        <f>(IF(BF250=1,0.10771, IF(BF250=2, 0.326, IF(BF250=3, 0.207, IF(BF250=4, 0.189, IF(BF250=5, 0.008, IF(BF250=6, 0.008, IF(BF250=7, 0.008, IF(BF250=8, 0.008,"")))))))))</f>
        <v/>
      </c>
      <c r="BB274" s="3" t="str">
        <f t="shared" si="103"/>
        <v/>
      </c>
      <c r="BC274" s="3" t="str">
        <f t="shared" si="104"/>
        <v/>
      </c>
      <c r="BD274" s="3">
        <v>155</v>
      </c>
      <c r="BE274" s="3" t="b">
        <f>IF(BC$272=AX274,M$13*BA274*39994)</f>
        <v>0</v>
      </c>
      <c r="BF274" s="3" t="b">
        <f>IF(BC$272=AX274,M$14*BA274*39994)</f>
        <v>0</v>
      </c>
      <c r="BG274" s="3">
        <f>(((BE274-BF274)/1000)*0.000001)*M$7</f>
        <v>0</v>
      </c>
      <c r="BH274" s="2" t="s">
        <v>64</v>
      </c>
      <c r="BI274" s="2"/>
      <c r="BL274" s="2" t="s">
        <v>64</v>
      </c>
      <c r="BM274" s="2"/>
    </row>
    <row r="275" spans="6:65" hidden="1">
      <c r="F275" s="2">
        <v>4</v>
      </c>
      <c r="G275" s="3" t="s">
        <v>153</v>
      </c>
      <c r="H275" s="3"/>
      <c r="I275" s="3" t="str">
        <f>IF(N250=1,0.151, IF(N250=2, 0.449, IF(N250=3, 0.29, IF(N250=4, 0.278, IF(N250=5, 0.01, IF(N250=6, 0.01, IF(N250=7, 0.01, IF(N250=8,0.01,""))))))))</f>
        <v/>
      </c>
      <c r="J275" s="3" t="str">
        <f t="shared" si="99"/>
        <v/>
      </c>
      <c r="K275" s="3" t="str">
        <f t="shared" si="100"/>
        <v/>
      </c>
      <c r="L275" s="3">
        <v>210</v>
      </c>
      <c r="M275" s="3" t="b">
        <f>IF(K$272=F275,J$13*I275*56275)</f>
        <v>0</v>
      </c>
      <c r="N275" s="3" t="b">
        <f>IF(K$272=F275,J$14*I275*56275)</f>
        <v>0</v>
      </c>
      <c r="O275" s="3">
        <f t="shared" si="101"/>
        <v>0</v>
      </c>
      <c r="P275" s="2" t="s">
        <v>64</v>
      </c>
      <c r="Q275" s="2"/>
      <c r="R275" s="2"/>
      <c r="S275" s="2"/>
      <c r="T275" s="2"/>
      <c r="V275" s="2">
        <v>4</v>
      </c>
      <c r="W275" s="3" t="s">
        <v>153</v>
      </c>
      <c r="X275" s="3"/>
      <c r="Y275" s="3" t="str">
        <f>IF(AD250=1,0.151, IF(AD250=2, 0.449, IF(AD250=3, 0.29, IF(AD250=4, 0.278, IF(AD250=5, 0.01, IF(AD250=6, 0.01, IF(AD250=7, 0.01, IF(AD250=8,0.01,""))))))))</f>
        <v/>
      </c>
      <c r="Z275" s="3" t="str">
        <f>IF((K$9=W275),V275,"")</f>
        <v/>
      </c>
      <c r="AA275" s="3" t="str">
        <f>IFERROR(SMALL(Z$272:Z$276,V275),"")</f>
        <v/>
      </c>
      <c r="AB275" s="3">
        <v>210</v>
      </c>
      <c r="AC275" s="3" t="b">
        <f>IF(AA$272=V275,K$13*Y275*56275)</f>
        <v>0</v>
      </c>
      <c r="AD275" s="3" t="b">
        <f>IF(AA$272=V275,K$14*Y275*56275)</f>
        <v>0</v>
      </c>
      <c r="AE275" s="3">
        <f>(((AC275-AD275)/1000)*0.000001)*K$7</f>
        <v>0</v>
      </c>
      <c r="AF275" s="2" t="s">
        <v>64</v>
      </c>
      <c r="AG275" s="2"/>
      <c r="AH275" s="2"/>
      <c r="AI275" s="2"/>
      <c r="AJ275" s="2">
        <v>4</v>
      </c>
      <c r="AK275" s="3" t="s">
        <v>153</v>
      </c>
      <c r="AL275" s="3"/>
      <c r="AM275" s="3" t="str">
        <f>IF(AR250=1,0.151, IF(AR250=2, 0.449, IF(AR250=3, 0.29, IF(AR250=4, 0.278, IF(AR250=5, 0.01, IF(AR250=6, 0.01, IF(AR250=7, 0.01, IF(AR250=8,0.01,""))))))))</f>
        <v/>
      </c>
      <c r="AN275" s="3" t="str">
        <f>IF((L$9=AK275),AJ275,"")</f>
        <v/>
      </c>
      <c r="AO275" s="3" t="str">
        <f t="shared" si="102"/>
        <v/>
      </c>
      <c r="AP275" s="3">
        <v>210</v>
      </c>
      <c r="AQ275" s="3" t="b">
        <f>IF(AO$272=AJ275,L$13*AM275*56275)</f>
        <v>0</v>
      </c>
      <c r="AR275" s="3" t="b">
        <f>IF(AO$272=AJ275,L$14*AM275*56275)</f>
        <v>0</v>
      </c>
      <c r="AS275" s="3">
        <f>(((AQ275-AR275)/1000)*0.000001)*L$7</f>
        <v>0</v>
      </c>
      <c r="AT275" s="2" t="s">
        <v>64</v>
      </c>
      <c r="AU275" s="2"/>
      <c r="AV275" s="2"/>
      <c r="AX275" s="2">
        <v>4</v>
      </c>
      <c r="AY275" s="3" t="s">
        <v>153</v>
      </c>
      <c r="AZ275" s="3"/>
      <c r="BA275" s="3" t="str">
        <f>IF(BF250=1,0.151, IF(BF250=2, 0.449, IF(BF250=3, 0.29, IF(BF250=4, 0.278, IF(BF250=5, 0.01, IF(BF250=6, 0.01, IF(BF250=7, 0.01, IF(BF250=8,0.01,""))))))))</f>
        <v/>
      </c>
      <c r="BB275" s="3" t="str">
        <f t="shared" si="103"/>
        <v/>
      </c>
      <c r="BC275" s="3" t="str">
        <f t="shared" si="104"/>
        <v/>
      </c>
      <c r="BD275" s="3">
        <v>210</v>
      </c>
      <c r="BE275" s="3" t="b">
        <f>IF(BC$272=AX275,M$13*BA275*56275)</f>
        <v>0</v>
      </c>
      <c r="BF275" s="3" t="b">
        <f>IF(BC$272=AX275,M$14*BA275*56275)</f>
        <v>0</v>
      </c>
      <c r="BG275" s="3">
        <f>(((BE275-BF275)/1000)*0.000001)*M$7</f>
        <v>0</v>
      </c>
      <c r="BH275" s="2" t="s">
        <v>64</v>
      </c>
      <c r="BI275" s="2"/>
      <c r="BL275" s="2" t="s">
        <v>64</v>
      </c>
      <c r="BM275" s="2"/>
    </row>
    <row r="276" spans="6:65" hidden="1">
      <c r="F276" s="2">
        <v>5</v>
      </c>
      <c r="G276" s="3" t="s">
        <v>154</v>
      </c>
      <c r="H276" s="3"/>
      <c r="I276" s="3" t="str">
        <f>IF(N250=1,0.17028, IF(N250=2, 0.51, IF(N250=3, 0.326, IF(N250=4, 0.308, IF(N250=5, 0.012, IF(N250=6, 0.012, IF(N250=7, 0.012, IF(N250=8, 0.012,""))))))))</f>
        <v/>
      </c>
      <c r="J276" s="3" t="str">
        <f t="shared" si="99"/>
        <v/>
      </c>
      <c r="K276" s="3" t="str">
        <f t="shared" si="100"/>
        <v/>
      </c>
      <c r="L276" s="3">
        <v>251</v>
      </c>
      <c r="M276" s="3" t="b">
        <f>IF(K$272=F276,J$13*I276*56275)</f>
        <v>0</v>
      </c>
      <c r="N276" s="3" t="b">
        <f>IF(K$272=F276,J$14*I276*56275)</f>
        <v>0</v>
      </c>
      <c r="O276" s="3">
        <f t="shared" si="101"/>
        <v>0</v>
      </c>
      <c r="P276" s="2" t="s">
        <v>64</v>
      </c>
      <c r="Q276" s="2"/>
      <c r="R276" s="2"/>
      <c r="S276" s="2"/>
      <c r="T276" s="2"/>
      <c r="V276" s="2">
        <v>5</v>
      </c>
      <c r="W276" s="3" t="s">
        <v>154</v>
      </c>
      <c r="X276" s="3"/>
      <c r="Y276" s="3" t="str">
        <f>IF(AD250=1,0.17028, IF(AD250=2, 0.51, IF(AD250=3, 0.326, IF(AD250=4, 0.308, IF(AD250=5, 0.012, IF(AD250=6, 0.012, IF(AD250=7, 0.012, IF(AD250=8, 0.012,""))))))))</f>
        <v/>
      </c>
      <c r="Z276" s="3" t="str">
        <f>IF((K$9=W276),V276,"")</f>
        <v/>
      </c>
      <c r="AA276" s="3" t="str">
        <f>IFERROR(SMALL(Z$272:Z$276,V276),"")</f>
        <v/>
      </c>
      <c r="AB276" s="3">
        <v>251</v>
      </c>
      <c r="AC276" s="3" t="b">
        <f>IF(AA$272=V276,K$13*Y276*56275)</f>
        <v>0</v>
      </c>
      <c r="AD276" s="3" t="b">
        <f>IF(AA$272=V276,K$14*Y276*56275)</f>
        <v>0</v>
      </c>
      <c r="AE276" s="3">
        <f>(((AC276-AD276)/1000)*0.000001)*K$7</f>
        <v>0</v>
      </c>
      <c r="AF276" s="2" t="s">
        <v>64</v>
      </c>
      <c r="AG276" s="2"/>
      <c r="AH276" s="2"/>
      <c r="AI276" s="2"/>
      <c r="AJ276" s="2">
        <v>5</v>
      </c>
      <c r="AK276" s="3" t="s">
        <v>154</v>
      </c>
      <c r="AL276" s="3"/>
      <c r="AM276" s="3" t="str">
        <f>IF(AR250=1,0.17028, IF(AR250=2, 0.51, IF(AR250=3, 0.326, IF(AR250=4, 0.308, IF(AR250=5, 0.012, IF(AR250=6, 0.012, IF(AR250=7, 0.012, IF(AR250=8, 0.012,""))))))))</f>
        <v/>
      </c>
      <c r="AN276" s="3" t="str">
        <f>IF((L$9=AK276),AJ276,"")</f>
        <v/>
      </c>
      <c r="AO276" s="3" t="str">
        <f t="shared" si="102"/>
        <v/>
      </c>
      <c r="AP276" s="3">
        <v>251</v>
      </c>
      <c r="AQ276" s="3" t="b">
        <f>IF(AO$272=AJ276,L$13*AM276*56275)</f>
        <v>0</v>
      </c>
      <c r="AR276" s="3" t="b">
        <f>IF(AO$272=AJ276,L$14*AM276*56275)</f>
        <v>0</v>
      </c>
      <c r="AS276" s="3">
        <f>(((AQ276-AR276)/1000)*0.000001)*L$7</f>
        <v>0</v>
      </c>
      <c r="AT276" s="2" t="s">
        <v>64</v>
      </c>
      <c r="AU276" s="2"/>
      <c r="AV276" s="2"/>
      <c r="AX276" s="2">
        <v>5</v>
      </c>
      <c r="AY276" s="3" t="s">
        <v>154</v>
      </c>
      <c r="AZ276" s="3"/>
      <c r="BA276" s="3" t="str">
        <f>IF(BF250=1,0.17028, IF(BF250=2, 0.51, IF(BF250=3, 0.326, IF(BF250=4, 0.308, IF(BF250=5, 0.012, IF(BF250=6, 0.012, IF(BF250=7, 0.012, IF(BF250=8, 0.012,""))))))))</f>
        <v/>
      </c>
      <c r="BB276" s="3" t="str">
        <f t="shared" si="103"/>
        <v/>
      </c>
      <c r="BC276" s="3" t="str">
        <f t="shared" si="104"/>
        <v/>
      </c>
      <c r="BD276" s="3">
        <v>251</v>
      </c>
      <c r="BE276" s="3" t="b">
        <f>IF(BC$272=AX276,M$13*BA276*56275)</f>
        <v>0</v>
      </c>
      <c r="BF276" s="3" t="b">
        <f>IF(BC$272=AX276,M$14*BA276*56275)</f>
        <v>0</v>
      </c>
      <c r="BG276" s="3">
        <f>(((BE276-BF276)/1000)*0.000001)*M$7</f>
        <v>0</v>
      </c>
      <c r="BH276" s="2" t="s">
        <v>64</v>
      </c>
      <c r="BI276" s="2"/>
      <c r="BL276" s="2" t="s">
        <v>64</v>
      </c>
      <c r="BM276" s="2"/>
    </row>
    <row r="277" spans="6:65" hidden="1">
      <c r="F277" s="2">
        <v>6</v>
      </c>
      <c r="G277" s="17" t="s">
        <v>13</v>
      </c>
      <c r="H277" s="2"/>
      <c r="I277" s="2"/>
      <c r="J277" s="2" t="str">
        <f t="shared" si="99"/>
        <v/>
      </c>
      <c r="K277" s="2" t="str">
        <f>IFERROR(SMALL(J$277:J$290,F277),"")</f>
        <v/>
      </c>
      <c r="L277" s="2"/>
      <c r="M277" s="2"/>
      <c r="N277" s="2"/>
      <c r="O277" s="2"/>
      <c r="P277" s="2"/>
      <c r="Q277" s="2"/>
      <c r="R277" s="2"/>
      <c r="S277" s="2"/>
      <c r="T277" s="2"/>
      <c r="V277" s="2"/>
      <c r="W277" s="2"/>
      <c r="X277" s="2"/>
      <c r="Y277" s="2"/>
      <c r="Z277" s="2"/>
      <c r="AA277" s="2"/>
      <c r="AB277" s="2"/>
      <c r="AC277" s="2"/>
      <c r="AD277" s="2"/>
      <c r="AE277" s="2"/>
      <c r="AF277" s="2"/>
      <c r="AG277" s="2"/>
      <c r="AH277" s="2"/>
      <c r="AI277" s="2"/>
      <c r="AJ277" s="2"/>
      <c r="AK277" s="2"/>
      <c r="AL277" s="2"/>
      <c r="AM277" s="2"/>
      <c r="AN277" s="2"/>
      <c r="AO277" s="2"/>
      <c r="AP277" s="2"/>
      <c r="AQ277" s="2"/>
      <c r="AR277" s="2"/>
      <c r="AS277" s="2"/>
      <c r="AT277" s="2"/>
      <c r="AU277" s="2"/>
      <c r="AV277" s="2"/>
      <c r="AX277" s="2"/>
      <c r="AY277" s="2"/>
      <c r="AZ277" s="2"/>
      <c r="BA277" s="2"/>
      <c r="BB277" s="2"/>
      <c r="BC277" s="2"/>
      <c r="BD277" s="2"/>
      <c r="BE277" s="2"/>
      <c r="BF277" s="2"/>
      <c r="BG277" s="2"/>
      <c r="BH277" s="2"/>
      <c r="BI277" s="2"/>
      <c r="BL277" s="2"/>
      <c r="BM277" s="2"/>
    </row>
    <row r="278" spans="6:65" hidden="1">
      <c r="F278" s="2"/>
      <c r="G278" s="17"/>
      <c r="H278" s="2"/>
      <c r="I278" s="2"/>
      <c r="J278" s="2"/>
      <c r="K278" s="2"/>
      <c r="L278" s="2"/>
      <c r="M278" s="2"/>
      <c r="N278" s="2"/>
      <c r="O278" s="2"/>
      <c r="P278" s="2"/>
      <c r="Q278" s="2"/>
      <c r="R278" s="2"/>
      <c r="S278" s="2"/>
      <c r="T278" s="2"/>
      <c r="V278" s="2"/>
      <c r="W278" s="2"/>
      <c r="X278" s="2"/>
      <c r="Y278" s="2"/>
      <c r="Z278" s="2"/>
      <c r="AA278" s="2"/>
      <c r="AB278" s="2"/>
      <c r="AC278" s="2"/>
      <c r="AD278" s="2"/>
      <c r="AE278" s="2"/>
      <c r="AF278" s="2"/>
      <c r="AG278" s="2"/>
      <c r="AH278" s="2"/>
      <c r="AI278" s="2"/>
      <c r="AJ278" s="2"/>
      <c r="AK278" s="2"/>
      <c r="AL278" s="2"/>
      <c r="AM278" s="2"/>
      <c r="AN278" s="2"/>
      <c r="AO278" s="2"/>
      <c r="AP278" s="2"/>
      <c r="AQ278" s="2"/>
      <c r="AR278" s="2"/>
      <c r="AS278" s="2"/>
      <c r="AT278" s="2"/>
      <c r="AU278" s="2"/>
      <c r="AV278" s="2"/>
      <c r="AX278" s="2"/>
      <c r="AY278" s="2"/>
      <c r="AZ278" s="2"/>
      <c r="BA278" s="2"/>
      <c r="BB278" s="2"/>
      <c r="BC278" s="2"/>
      <c r="BD278" s="2"/>
      <c r="BE278" s="2"/>
      <c r="BF278" s="2"/>
      <c r="BG278" s="2"/>
      <c r="BH278" s="2"/>
      <c r="BI278" s="2"/>
      <c r="BL278" s="2"/>
      <c r="BM278" s="2"/>
    </row>
    <row r="279" spans="6:65" s="123" customFormat="1" hidden="1">
      <c r="F279" s="126"/>
      <c r="G279" s="126"/>
      <c r="H279" s="126"/>
      <c r="I279" s="127" t="s">
        <v>69</v>
      </c>
      <c r="J279" s="126" t="s">
        <v>58</v>
      </c>
      <c r="K279" s="126" t="s">
        <v>58</v>
      </c>
      <c r="L279" s="127" t="s">
        <v>59</v>
      </c>
      <c r="M279" s="126" t="s">
        <v>60</v>
      </c>
      <c r="N279" s="126" t="s">
        <v>61</v>
      </c>
      <c r="O279" s="126" t="s">
        <v>62</v>
      </c>
      <c r="P279" s="126"/>
      <c r="Q279" s="126"/>
      <c r="R279" s="126"/>
      <c r="S279" s="126"/>
      <c r="T279" s="126"/>
      <c r="V279" s="126"/>
      <c r="W279" s="126"/>
      <c r="X279" s="126"/>
      <c r="Y279" s="127" t="s">
        <v>69</v>
      </c>
      <c r="Z279" s="126" t="s">
        <v>58</v>
      </c>
      <c r="AA279" s="126" t="s">
        <v>58</v>
      </c>
      <c r="AB279" s="127" t="s">
        <v>59</v>
      </c>
      <c r="AC279" s="126" t="s">
        <v>60</v>
      </c>
      <c r="AD279" s="126" t="s">
        <v>61</v>
      </c>
      <c r="AE279" s="126" t="s">
        <v>62</v>
      </c>
      <c r="AF279" s="126"/>
      <c r="AG279" s="126"/>
      <c r="AH279" s="126"/>
      <c r="AI279" s="126"/>
      <c r="AJ279" s="126"/>
      <c r="AK279" s="126"/>
      <c r="AL279" s="126"/>
      <c r="AM279" s="127" t="s">
        <v>69</v>
      </c>
      <c r="AN279" s="126" t="s">
        <v>58</v>
      </c>
      <c r="AO279" s="126" t="s">
        <v>58</v>
      </c>
      <c r="AP279" s="127" t="s">
        <v>59</v>
      </c>
      <c r="AQ279" s="126" t="s">
        <v>60</v>
      </c>
      <c r="AR279" s="126" t="s">
        <v>61</v>
      </c>
      <c r="AS279" s="126" t="s">
        <v>62</v>
      </c>
      <c r="AT279" s="126"/>
      <c r="AU279" s="126"/>
      <c r="AV279" s="126"/>
      <c r="AX279" s="126"/>
      <c r="AY279" s="126"/>
      <c r="AZ279" s="126"/>
      <c r="BA279" s="127" t="s">
        <v>69</v>
      </c>
      <c r="BB279" s="126" t="s">
        <v>58</v>
      </c>
      <c r="BC279" s="126" t="s">
        <v>58</v>
      </c>
      <c r="BD279" s="127" t="s">
        <v>59</v>
      </c>
      <c r="BE279" s="126" t="s">
        <v>60</v>
      </c>
      <c r="BF279" s="126" t="s">
        <v>61</v>
      </c>
      <c r="BG279" s="126" t="s">
        <v>62</v>
      </c>
      <c r="BH279" s="126"/>
      <c r="BI279" s="126"/>
      <c r="BL279" s="126"/>
      <c r="BM279" s="126"/>
    </row>
    <row r="280" spans="6:65" s="123" customFormat="1" hidden="1">
      <c r="F280" s="126">
        <v>1</v>
      </c>
      <c r="G280" s="128" t="s">
        <v>83</v>
      </c>
      <c r="H280" s="128"/>
      <c r="I280" s="128" t="str">
        <f>IF(I260=1,5.25,"")</f>
        <v/>
      </c>
      <c r="J280" s="128" t="str">
        <f>IF((J$11=G280),F280,"")</f>
        <v/>
      </c>
      <c r="K280" s="128" t="str">
        <f>IFERROR(SMALL(J$280:J$285,F280),"")</f>
        <v/>
      </c>
      <c r="L280" s="128">
        <v>177</v>
      </c>
      <c r="M280" s="3" t="b">
        <f>IF(K$280=F280,J$13*I280*4281)</f>
        <v>0</v>
      </c>
      <c r="N280" s="3" t="b">
        <f>IF(K$280=F280,J$14*I280*4281)</f>
        <v>0</v>
      </c>
      <c r="O280" s="3">
        <f>(((M280-N280)/1000)*0.000001)*J$7</f>
        <v>0</v>
      </c>
      <c r="P280" s="126" t="s">
        <v>64</v>
      </c>
      <c r="Q280" s="126"/>
      <c r="R280" s="126"/>
      <c r="S280" s="126"/>
      <c r="T280" s="126"/>
      <c r="V280" s="126">
        <v>1</v>
      </c>
      <c r="W280" s="128" t="s">
        <v>83</v>
      </c>
      <c r="X280" s="128"/>
      <c r="Y280" s="128" t="str">
        <f>IF(Y260=1,5.25,"")</f>
        <v/>
      </c>
      <c r="Z280" s="128" t="str">
        <f>IF((K$11=W280),V280,"")</f>
        <v/>
      </c>
      <c r="AA280" s="128" t="str">
        <f>IFERROR(SMALL(Z$280:Z$285,V280),"")</f>
        <v/>
      </c>
      <c r="AB280" s="128">
        <v>177</v>
      </c>
      <c r="AC280" s="3" t="b">
        <f>IF(AA$280=V280,K$13*Y280*4281)</f>
        <v>0</v>
      </c>
      <c r="AD280" s="3" t="b">
        <f>IF(AA$280=V280,K$14*Y280*4281)</f>
        <v>0</v>
      </c>
      <c r="AE280" s="3">
        <f t="shared" ref="AE280:AE285" si="105">(((AC280-AD280)/1000)*0.000001)*K$7</f>
        <v>0</v>
      </c>
      <c r="AF280" s="126" t="s">
        <v>64</v>
      </c>
      <c r="AG280" s="126"/>
      <c r="AH280" s="126"/>
      <c r="AI280" s="126"/>
      <c r="AJ280" s="126">
        <v>1</v>
      </c>
      <c r="AK280" s="128" t="s">
        <v>83</v>
      </c>
      <c r="AL280" s="128"/>
      <c r="AM280" s="128" t="str">
        <f>IF(AM260=1,5.25,"")</f>
        <v/>
      </c>
      <c r="AN280" s="128" t="str">
        <f>IF((L$11=AK280),AJ280,"")</f>
        <v/>
      </c>
      <c r="AO280" s="128" t="str">
        <f>IFERROR(SMALL(AN$280:AN$284,AJ280),"")</f>
        <v/>
      </c>
      <c r="AP280" s="128">
        <v>177</v>
      </c>
      <c r="AQ280" s="3" t="b">
        <f>IF(AO$280=AJ280,L$13*AM280*4281)</f>
        <v>0</v>
      </c>
      <c r="AR280" s="3" t="b">
        <f>IF(AO$280=AJ280,L$14*AM280*4281)</f>
        <v>0</v>
      </c>
      <c r="AS280" s="3">
        <f>(((AQ280-AR280)/1000)*0.000001)*L$7</f>
        <v>0</v>
      </c>
      <c r="AT280" s="126" t="s">
        <v>64</v>
      </c>
      <c r="AU280" s="126"/>
      <c r="AV280" s="126"/>
      <c r="AX280" s="126">
        <v>1</v>
      </c>
      <c r="AY280" s="128" t="s">
        <v>83</v>
      </c>
      <c r="AZ280" s="128"/>
      <c r="BA280" s="128" t="str">
        <f>IF(BA260=1,5.25,"")</f>
        <v/>
      </c>
      <c r="BB280" s="128" t="str">
        <f>IF((M$11=AY280),AX280,"")</f>
        <v/>
      </c>
      <c r="BC280" s="128" t="str">
        <f>IFERROR(SMALL(BB$280:BB$284,AX280),"")</f>
        <v/>
      </c>
      <c r="BD280" s="128">
        <v>177</v>
      </c>
      <c r="BE280" s="3" t="b">
        <f>IF(BC$280=AX280,M$13*BA280*4281)</f>
        <v>0</v>
      </c>
      <c r="BF280" s="3" t="b">
        <f>IF(BC$280=AX280,M$14*BA280*4281)</f>
        <v>0</v>
      </c>
      <c r="BG280" s="3">
        <f>(((BE280-BF280)/1000)*0.000001)*M$7</f>
        <v>0</v>
      </c>
      <c r="BH280" s="126" t="s">
        <v>64</v>
      </c>
      <c r="BI280" s="126"/>
      <c r="BL280" s="126" t="s">
        <v>64</v>
      </c>
      <c r="BM280" s="126"/>
    </row>
    <row r="281" spans="6:65" s="123" customFormat="1" hidden="1">
      <c r="F281" s="126">
        <v>2</v>
      </c>
      <c r="G281" s="128" t="s">
        <v>151</v>
      </c>
      <c r="H281" s="128"/>
      <c r="I281" s="128">
        <f>IF(N260=1,0.06442,IF(N260=2,0.326,IF(N260=3,0.207,IF(N260=4,0.189,IF(N260=5,0.008,IF(N260=6,0.008,IF(N260=7,0.008,IF(N260=8,0.008,""))))))))</f>
        <v>6.4420000000000005E-2</v>
      </c>
      <c r="J281" s="128" t="str">
        <f t="shared" ref="J281:J285" si="106">IF((J$11=G281),F281,"")</f>
        <v/>
      </c>
      <c r="K281" s="128" t="str">
        <f t="shared" ref="K281:K285" si="107">IFERROR(SMALL(J$280:J$285,F281),"")</f>
        <v/>
      </c>
      <c r="L281" s="128">
        <v>101</v>
      </c>
      <c r="M281" s="3" t="b">
        <f>IF(K$280=F281,J$13*I281*23713)</f>
        <v>0</v>
      </c>
      <c r="N281" s="3" t="b">
        <f>IF(K$280=F281,J$14*I281*23713)</f>
        <v>0</v>
      </c>
      <c r="O281" s="3">
        <f t="shared" ref="O281:O285" si="108">(((M281-N281)/1000)*0.000001)*J$7</f>
        <v>0</v>
      </c>
      <c r="P281" s="126" t="s">
        <v>64</v>
      </c>
      <c r="Q281" s="126"/>
      <c r="R281" s="126"/>
      <c r="S281" s="126"/>
      <c r="T281" s="126"/>
      <c r="V281" s="126">
        <v>2</v>
      </c>
      <c r="W281" s="128" t="s">
        <v>151</v>
      </c>
      <c r="X281" s="128"/>
      <c r="Y281" s="128">
        <f>IF(AD260=1,0.06442,IF(AD260=2,0.326,IF(AD260=3,0.207,IF(AD260=4,0.189,IF(AD260=5,0.008,IF(AD260=6,0.008,IF(AD260=7,0.008,IF(AD260=8,0.008,""))))))))</f>
        <v>6.4420000000000005E-2</v>
      </c>
      <c r="Z281" s="128" t="str">
        <f>IF((K$11=W281),V281,"")</f>
        <v/>
      </c>
      <c r="AA281" s="128" t="str">
        <f t="shared" ref="AA281:AA284" si="109">IFERROR(SMALL(Z$280:Z$285,V281),"")</f>
        <v/>
      </c>
      <c r="AB281" s="128">
        <v>101</v>
      </c>
      <c r="AC281" s="3" t="b">
        <f>IF(AA$280=V281,K$13*Y281*23713)</f>
        <v>0</v>
      </c>
      <c r="AD281" s="3" t="b">
        <f>IF(AA$272=V281,K$14*Y281*23713)</f>
        <v>0</v>
      </c>
      <c r="AE281" s="3">
        <f t="shared" si="105"/>
        <v>0</v>
      </c>
      <c r="AF281" s="126" t="s">
        <v>64</v>
      </c>
      <c r="AG281" s="126"/>
      <c r="AH281" s="126"/>
      <c r="AI281" s="126"/>
      <c r="AJ281" s="126">
        <v>2</v>
      </c>
      <c r="AK281" s="128" t="s">
        <v>151</v>
      </c>
      <c r="AL281" s="128"/>
      <c r="AM281" s="128">
        <f>IF(AR260=1,0.06442,IF(AR260=2,0.326,IF(AR260=3,0.207,IF(AR260=4,0.189,IF(AR260=5,0.008,IF(AR260=6,0.008,IF(AR260=7,0.008,IF(AR260=8,0.008,""))))))))</f>
        <v>6.4420000000000005E-2</v>
      </c>
      <c r="AN281" s="128" t="str">
        <f>IF((L$11=AK281),AJ281,"")</f>
        <v/>
      </c>
      <c r="AO281" s="128" t="str">
        <f t="shared" ref="AO281:AO284" si="110">IFERROR(SMALL(AN$280:AN$284,AJ281),"")</f>
        <v/>
      </c>
      <c r="AP281" s="128">
        <v>101</v>
      </c>
      <c r="AQ281" s="3" t="b">
        <f>IF(AO$280=AJ281,L$13*AM281*23713)</f>
        <v>0</v>
      </c>
      <c r="AR281" s="3" t="b">
        <f>IF(AO$272=AJ281,L$14*AM281*23713)</f>
        <v>0</v>
      </c>
      <c r="AS281" s="3">
        <f>(((AQ281-AR281)/1000)*0.000001)*L$7</f>
        <v>0</v>
      </c>
      <c r="AT281" s="126" t="s">
        <v>64</v>
      </c>
      <c r="AU281" s="126"/>
      <c r="AV281" s="126"/>
      <c r="AX281" s="126">
        <v>2</v>
      </c>
      <c r="AY281" s="128" t="s">
        <v>151</v>
      </c>
      <c r="AZ281" s="128"/>
      <c r="BA281" s="128">
        <f>IF(BF260=1,0.06442,IF(BF260=2,0.326,IF(BF260=3,0.207,IF(BF260=4,0.189,IF(BF260=5,0.008,IF(BF260=6,0.008,IF(BF260=7,0.008,IF(BF260=8,0.008,""))))))))</f>
        <v>6.4420000000000005E-2</v>
      </c>
      <c r="BB281" s="128" t="str">
        <f t="shared" ref="BB281:BB284" si="111">IF((M$11=AY281),AX281,"")</f>
        <v/>
      </c>
      <c r="BC281" s="128" t="str">
        <f>IFERROR(SMALL(BB$280:BB$284,AX281),"")</f>
        <v/>
      </c>
      <c r="BD281" s="128">
        <v>101</v>
      </c>
      <c r="BE281" s="3" t="b">
        <f>IF(BC$280=AX281,M$13*BA281*23713)</f>
        <v>0</v>
      </c>
      <c r="BF281" s="3" t="b">
        <f>IF(BC$272=AX281,M$14*BA281*23713)</f>
        <v>0</v>
      </c>
      <c r="BG281" s="3">
        <f t="shared" ref="BG281:BG284" si="112">(((BE281-BF281)/1000)*0.000001)*M$7</f>
        <v>0</v>
      </c>
      <c r="BH281" s="126" t="s">
        <v>64</v>
      </c>
      <c r="BI281" s="126"/>
      <c r="BL281" s="126" t="s">
        <v>64</v>
      </c>
      <c r="BM281" s="126"/>
    </row>
    <row r="282" spans="6:65" s="123" customFormat="1" hidden="1">
      <c r="F282" s="126">
        <v>3</v>
      </c>
      <c r="G282" s="128" t="s">
        <v>152</v>
      </c>
      <c r="H282" s="128"/>
      <c r="I282" s="128">
        <f>(IF(N260=1,0.10771, IF(N260=2, 0.326, IF(N260=3, 0.207, IF(N260=4, 0.189, IF(N260=5, 0.008, IF(N260=6, 0.008, IF(N260=7, 0.008, IF(N260=8, 0.008,"")))))))))</f>
        <v>0.10771</v>
      </c>
      <c r="J282" s="128" t="str">
        <f t="shared" si="106"/>
        <v/>
      </c>
      <c r="K282" s="128" t="str">
        <f>IFERROR(SMALL(J$280:J$285,F282),"")</f>
        <v/>
      </c>
      <c r="L282" s="128">
        <v>155</v>
      </c>
      <c r="M282" s="3" t="b">
        <f>IF(K$280=F282,J$13*I282*39994)</f>
        <v>0</v>
      </c>
      <c r="N282" s="3" t="b">
        <f>IF(K$280=F282,J$14*I282*39994)</f>
        <v>0</v>
      </c>
      <c r="O282" s="3">
        <f t="shared" si="108"/>
        <v>0</v>
      </c>
      <c r="P282" s="126" t="s">
        <v>64</v>
      </c>
      <c r="Q282" s="126"/>
      <c r="R282" s="126"/>
      <c r="S282" s="126"/>
      <c r="T282" s="126"/>
      <c r="V282" s="126">
        <v>3</v>
      </c>
      <c r="W282" s="128" t="s">
        <v>152</v>
      </c>
      <c r="X282" s="128"/>
      <c r="Y282" s="128">
        <f>(IF(AD260=1,0.10771, IF(AD260=2, 0.326, IF(AD260=3, 0.207, IF(AD260=4, 0.189, IF(AD260=5, 0.008, IF(AD260=6, 0.008, IF(AD260=7, 0.008, IF(AD260=8, 0.008,"")))))))))</f>
        <v>0.10771</v>
      </c>
      <c r="Z282" s="128" t="str">
        <f>IF((K$11=W282),V282,"")</f>
        <v/>
      </c>
      <c r="AA282" s="128" t="str">
        <f t="shared" si="109"/>
        <v/>
      </c>
      <c r="AB282" s="128">
        <v>155</v>
      </c>
      <c r="AC282" s="3" t="b">
        <f>IF(AA$280=V282,K$13*Y282*39994)</f>
        <v>0</v>
      </c>
      <c r="AD282" s="3" t="b">
        <f>IF(AA$280=V282,K$14*Y282*39994)</f>
        <v>0</v>
      </c>
      <c r="AE282" s="3">
        <f t="shared" si="105"/>
        <v>0</v>
      </c>
      <c r="AF282" s="126" t="s">
        <v>64</v>
      </c>
      <c r="AG282" s="126"/>
      <c r="AH282" s="126"/>
      <c r="AI282" s="126"/>
      <c r="AJ282" s="126">
        <v>3</v>
      </c>
      <c r="AK282" s="128" t="s">
        <v>152</v>
      </c>
      <c r="AL282" s="128"/>
      <c r="AM282" s="128">
        <f>(IF(AR260=1,0.10771, IF(AR260=2, 0.326, IF(AR260=3, 0.207, IF(AR260=4, 0.189, IF(AR260=5, 0.008, IF(AR260=6, 0.008, IF(AR260=7, 0.008, IF(AR260=8, 0.008,"")))))))))</f>
        <v>0.10771</v>
      </c>
      <c r="AN282" s="128" t="str">
        <f>IF((L$11=AK282),AJ282,"")</f>
        <v/>
      </c>
      <c r="AO282" s="128" t="str">
        <f t="shared" si="110"/>
        <v/>
      </c>
      <c r="AP282" s="128">
        <v>155</v>
      </c>
      <c r="AQ282" s="3" t="b">
        <f>IF(AO$280=AJ282,L$13*AM282*39994)</f>
        <v>0</v>
      </c>
      <c r="AR282" s="3" t="b">
        <f>IF(AO$280=AJ282,L$14*AM282*39994)</f>
        <v>0</v>
      </c>
      <c r="AS282" s="3">
        <f>(((AQ282-AR282)/1000)*0.000001)*L$7</f>
        <v>0</v>
      </c>
      <c r="AT282" s="126" t="s">
        <v>64</v>
      </c>
      <c r="AU282" s="126"/>
      <c r="AV282" s="126"/>
      <c r="AX282" s="126">
        <v>3</v>
      </c>
      <c r="AY282" s="128" t="s">
        <v>152</v>
      </c>
      <c r="AZ282" s="128"/>
      <c r="BA282" s="128">
        <f>(IF(BF260=1,0.10771, IF(BF260=2, 0.326, IF(BF260=3, 0.207, IF(BF260=4, 0.189, IF(BF260=5, 0.008, IF(BF260=6, 0.008, IF(BF260=7, 0.008, IF(BF260=8, 0.008,"")))))))))</f>
        <v>0.10771</v>
      </c>
      <c r="BB282" s="128" t="str">
        <f t="shared" si="111"/>
        <v/>
      </c>
      <c r="BC282" s="128" t="str">
        <f t="shared" ref="BC282:BC284" si="113">IFERROR(SMALL(BB$280:BB$284,AX282),"")</f>
        <v/>
      </c>
      <c r="BD282" s="128">
        <v>155</v>
      </c>
      <c r="BE282" s="3" t="b">
        <f>IF(BC$280=AX282,M$13*BA282*39994)</f>
        <v>0</v>
      </c>
      <c r="BF282" s="3" t="b">
        <f>IF(BC$280=AX282,M$14*BA282*39994)</f>
        <v>0</v>
      </c>
      <c r="BG282" s="3">
        <f t="shared" si="112"/>
        <v>0</v>
      </c>
      <c r="BH282" s="126" t="s">
        <v>64</v>
      </c>
      <c r="BI282" s="126"/>
      <c r="BL282" s="126" t="s">
        <v>64</v>
      </c>
      <c r="BM282" s="126"/>
    </row>
    <row r="283" spans="6:65" s="123" customFormat="1" hidden="1">
      <c r="F283" s="126">
        <v>4</v>
      </c>
      <c r="G283" s="128" t="s">
        <v>153</v>
      </c>
      <c r="H283" s="128"/>
      <c r="I283" s="128">
        <f>IF(N260=1,0.151, IF(N260=2, 0.449, IF(N260=3, 0.29, IF(N260=4, 0.278, IF(N260=5, 0.01, IF(N260=6, 0.01, IF(N260=7, 0.01, IF(N260=8,0.01,""))))))))</f>
        <v>0.151</v>
      </c>
      <c r="J283" s="128" t="str">
        <f t="shared" si="106"/>
        <v/>
      </c>
      <c r="K283" s="128" t="str">
        <f t="shared" si="107"/>
        <v/>
      </c>
      <c r="L283" s="128">
        <v>210</v>
      </c>
      <c r="M283" s="3" t="b">
        <f>IF(K$280=F283,J$13*I283*56275)</f>
        <v>0</v>
      </c>
      <c r="N283" s="3" t="b">
        <f>IF(K$280=F283,J$14*I283*56275)</f>
        <v>0</v>
      </c>
      <c r="O283" s="3">
        <f t="shared" si="108"/>
        <v>0</v>
      </c>
      <c r="P283" s="126" t="s">
        <v>64</v>
      </c>
      <c r="Q283" s="126"/>
      <c r="R283" s="126"/>
      <c r="S283" s="126"/>
      <c r="T283" s="126"/>
      <c r="V283" s="126">
        <v>4</v>
      </c>
      <c r="W283" s="128" t="s">
        <v>153</v>
      </c>
      <c r="X283" s="128"/>
      <c r="Y283" s="128">
        <f>IF(AD260=1,0.151, IF(AD260=2, 0.449, IF(AD260=3, 0.29, IF(AD260=4, 0.278, IF(AD260=5, 0.01, IF(AD260=6, 0.01, IF(AD260=7, 0.01, IF(AD260=8,0.01,""))))))))</f>
        <v>0.151</v>
      </c>
      <c r="Z283" s="128" t="str">
        <f>IF((K$11=W283),V283,"")</f>
        <v/>
      </c>
      <c r="AA283" s="128" t="str">
        <f t="shared" si="109"/>
        <v/>
      </c>
      <c r="AB283" s="128">
        <v>210</v>
      </c>
      <c r="AC283" s="3" t="b">
        <f>IF(AA$280=V283,K$13*Y283*56275)</f>
        <v>0</v>
      </c>
      <c r="AD283" s="3" t="b">
        <f>IF(AA$280=V283,K$14*Y283*56275)</f>
        <v>0</v>
      </c>
      <c r="AE283" s="3">
        <f t="shared" si="105"/>
        <v>0</v>
      </c>
      <c r="AF283" s="126" t="s">
        <v>64</v>
      </c>
      <c r="AG283" s="126"/>
      <c r="AH283" s="126"/>
      <c r="AI283" s="126"/>
      <c r="AJ283" s="126">
        <v>4</v>
      </c>
      <c r="AK283" s="128" t="s">
        <v>153</v>
      </c>
      <c r="AL283" s="128"/>
      <c r="AM283" s="128">
        <f>IF(AR260=1,0.151, IF(AR260=2, 0.449, IF(AR260=3, 0.29, IF(AR260=4, 0.278, IF(AR260=5, 0.01, IF(AR260=6, 0.01, IF(AR260=7, 0.01, IF(AR260=8,0.01,""))))))))</f>
        <v>0.151</v>
      </c>
      <c r="AN283" s="128" t="str">
        <f>IF((L$11=AK283),AJ283,"")</f>
        <v/>
      </c>
      <c r="AO283" s="128" t="str">
        <f t="shared" si="110"/>
        <v/>
      </c>
      <c r="AP283" s="128">
        <v>210</v>
      </c>
      <c r="AQ283" s="3" t="b">
        <f>IF(AO$280=AJ283,L$13*AM283*56275)</f>
        <v>0</v>
      </c>
      <c r="AR283" s="3" t="b">
        <f>IF(AO$280=AJ283,L$14*AM283*56275)</f>
        <v>0</v>
      </c>
      <c r="AS283" s="3">
        <f>(((AQ283-AR283)/1000)*0.000001)*L$7</f>
        <v>0</v>
      </c>
      <c r="AT283" s="126" t="s">
        <v>64</v>
      </c>
      <c r="AU283" s="126"/>
      <c r="AV283" s="126"/>
      <c r="AX283" s="126">
        <v>4</v>
      </c>
      <c r="AY283" s="128" t="s">
        <v>153</v>
      </c>
      <c r="AZ283" s="128"/>
      <c r="BA283" s="128">
        <f>IF(BF260=1,0.151, IF(BF260=2, 0.449, IF(BF260=3, 0.29, IF(BF260=4, 0.278, IF(BF260=5, 0.01, IF(BF260=6, 0.01, IF(BF260=7, 0.01, IF(BF260=8,0.01,""))))))))</f>
        <v>0.151</v>
      </c>
      <c r="BB283" s="128" t="str">
        <f t="shared" si="111"/>
        <v/>
      </c>
      <c r="BC283" s="128" t="str">
        <f t="shared" si="113"/>
        <v/>
      </c>
      <c r="BD283" s="128">
        <v>210</v>
      </c>
      <c r="BE283" s="3" t="b">
        <f>IF(BC$280=AX283,M$13*BA283*56275)</f>
        <v>0</v>
      </c>
      <c r="BF283" s="3" t="b">
        <f>IF(BC$280=AX283,M$14*BA283*56275)</f>
        <v>0</v>
      </c>
      <c r="BG283" s="3">
        <f t="shared" si="112"/>
        <v>0</v>
      </c>
      <c r="BH283" s="126" t="s">
        <v>64</v>
      </c>
      <c r="BI283" s="126"/>
      <c r="BL283" s="126" t="s">
        <v>64</v>
      </c>
      <c r="BM283" s="126"/>
    </row>
    <row r="284" spans="6:65" s="123" customFormat="1" hidden="1">
      <c r="F284" s="126">
        <v>5</v>
      </c>
      <c r="G284" s="128" t="s">
        <v>154</v>
      </c>
      <c r="H284" s="128"/>
      <c r="I284" s="128">
        <f>IF(N260=1,0.17028, IF(N260=2, 0.51, IF(N260=3, 0.326, IF(N260=4, 0.308, IF(N260=5, 0.012, IF(N260=6, 0.012, IF(N260=7, 0.012, IF(N260=8, 0.012,""))))))))</f>
        <v>0.17027999999999999</v>
      </c>
      <c r="J284" s="128" t="str">
        <f t="shared" si="106"/>
        <v/>
      </c>
      <c r="K284" s="128" t="str">
        <f t="shared" si="107"/>
        <v/>
      </c>
      <c r="L284" s="128">
        <v>251</v>
      </c>
      <c r="M284" s="3" t="b">
        <f>IF(K$280=F284,J$13*I284*56275)</f>
        <v>0</v>
      </c>
      <c r="N284" s="3" t="b">
        <f>IF(K$280=F284,J$14*I284*56275)</f>
        <v>0</v>
      </c>
      <c r="O284" s="3">
        <f t="shared" si="108"/>
        <v>0</v>
      </c>
      <c r="P284" s="126" t="s">
        <v>64</v>
      </c>
      <c r="Q284" s="126"/>
      <c r="R284" s="126"/>
      <c r="S284" s="126"/>
      <c r="T284" s="126"/>
      <c r="V284" s="126">
        <v>5</v>
      </c>
      <c r="W284" s="128" t="s">
        <v>154</v>
      </c>
      <c r="X284" s="128"/>
      <c r="Y284" s="128">
        <f>IF(AD260=1,0.17028, IF(AD260=2, 0.51, IF(AD260=3, 0.326, IF(AD260=4, 0.308, IF(AD260=5, 0.012, IF(AD260=6, 0.012, IF(AD260=7, 0.012, IF(AD260=8, 0.012,""))))))))</f>
        <v>0.17027999999999999</v>
      </c>
      <c r="Z284" s="128" t="str">
        <f>IF((K$11=W284),V284,"")</f>
        <v/>
      </c>
      <c r="AA284" s="128" t="str">
        <f t="shared" si="109"/>
        <v/>
      </c>
      <c r="AB284" s="128">
        <v>251</v>
      </c>
      <c r="AC284" s="3" t="b">
        <f>IF(AA$280=V284,K$13*Y284*56275)</f>
        <v>0</v>
      </c>
      <c r="AD284" s="3" t="b">
        <f>IF(AA$280=V284,K$14*Y284*56275)</f>
        <v>0</v>
      </c>
      <c r="AE284" s="3">
        <f t="shared" si="105"/>
        <v>0</v>
      </c>
      <c r="AF284" s="126" t="s">
        <v>64</v>
      </c>
      <c r="AG284" s="126"/>
      <c r="AH284" s="126"/>
      <c r="AI284" s="126"/>
      <c r="AJ284" s="126">
        <v>5</v>
      </c>
      <c r="AK284" s="128" t="s">
        <v>154</v>
      </c>
      <c r="AL284" s="128"/>
      <c r="AM284" s="128">
        <f>IF(AR260=1,0.17028, IF(AR260=2, 0.51, IF(AR260=3, 0.326, IF(AR260=4, 0.308, IF(AR260=5, 0.012, IF(AR260=6, 0.012, IF(AR260=7, 0.012, IF(AR260=8, 0.012,""))))))))</f>
        <v>0.17027999999999999</v>
      </c>
      <c r="AN284" s="128" t="str">
        <f>IF((L$11=AK284),AJ284,"")</f>
        <v/>
      </c>
      <c r="AO284" s="128" t="str">
        <f t="shared" si="110"/>
        <v/>
      </c>
      <c r="AP284" s="128">
        <v>251</v>
      </c>
      <c r="AQ284" s="3" t="b">
        <f>IF(AO$280=AJ284,L$13*AM284*56275)</f>
        <v>0</v>
      </c>
      <c r="AR284" s="3" t="b">
        <f>IF(AO$280=AJ284,L$14*AM284*56275)</f>
        <v>0</v>
      </c>
      <c r="AS284" s="3">
        <f>(((AQ284-AR284)/1000)*0.000001)*L$7</f>
        <v>0</v>
      </c>
      <c r="AT284" s="126" t="s">
        <v>64</v>
      </c>
      <c r="AU284" s="126"/>
      <c r="AV284" s="126"/>
      <c r="AX284" s="126">
        <v>5</v>
      </c>
      <c r="AY284" s="128" t="s">
        <v>154</v>
      </c>
      <c r="AZ284" s="128"/>
      <c r="BA284" s="128">
        <f>IF(BF260=1,0.17028, IF(BF260=2, 0.51, IF(BF260=3, 0.326, IF(BF260=4, 0.308, IF(BF260=5, 0.012, IF(BF260=6, 0.012, IF(BF260=7, 0.012, IF(BF260=8, 0.012,""))))))))</f>
        <v>0.17027999999999999</v>
      </c>
      <c r="BB284" s="128" t="str">
        <f t="shared" si="111"/>
        <v/>
      </c>
      <c r="BC284" s="128" t="str">
        <f t="shared" si="113"/>
        <v/>
      </c>
      <c r="BD284" s="128">
        <v>251</v>
      </c>
      <c r="BE284" s="3" t="b">
        <f>IF(BC$280=AX284,M$13*BA284*56275)</f>
        <v>0</v>
      </c>
      <c r="BF284" s="3" t="b">
        <f>IF(BC$280=AX284,M$14*BA284*56275)</f>
        <v>0</v>
      </c>
      <c r="BG284" s="3">
        <f t="shared" si="112"/>
        <v>0</v>
      </c>
      <c r="BH284" s="126" t="s">
        <v>64</v>
      </c>
      <c r="BI284" s="126"/>
      <c r="BL284" s="126" t="s">
        <v>64</v>
      </c>
      <c r="BM284" s="126"/>
    </row>
    <row r="285" spans="6:65" s="123" customFormat="1" hidden="1">
      <c r="F285" s="126">
        <v>6</v>
      </c>
      <c r="G285" s="133" t="s">
        <v>13</v>
      </c>
      <c r="H285" s="126"/>
      <c r="I285" s="128">
        <f>IF(N260=1,0.17028, IF(N260=2, 0.51, IF(N260=3, 0.326, IF(N260=4, 0.308, IF(N260=5, 0.012, IF(N260=6, 0.012, IF(N260=7, 0.012, IF(N260=8, 0.012,""))))))))</f>
        <v>0.17027999999999999</v>
      </c>
      <c r="J285" s="128" t="str">
        <f t="shared" si="106"/>
        <v/>
      </c>
      <c r="K285" s="128" t="str">
        <f t="shared" si="107"/>
        <v/>
      </c>
      <c r="L285" s="126"/>
      <c r="M285" s="3" t="b">
        <f>IF(K$280=F285,J$13*I285*56275)</f>
        <v>0</v>
      </c>
      <c r="N285" s="3" t="b">
        <f>IF(K$280=F285,J$14*I285*56275)</f>
        <v>0</v>
      </c>
      <c r="O285" s="3">
        <f t="shared" si="108"/>
        <v>0</v>
      </c>
      <c r="P285" s="126"/>
      <c r="Q285" s="126"/>
      <c r="R285" s="126"/>
      <c r="S285" s="126"/>
      <c r="T285" s="126"/>
      <c r="V285" s="126"/>
      <c r="W285" s="126"/>
      <c r="X285" s="126"/>
      <c r="Y285" s="126"/>
      <c r="Z285" s="126"/>
      <c r="AA285" s="126"/>
      <c r="AB285" s="126"/>
      <c r="AC285" s="3">
        <f>IF(AA$280=V285,K$13*Y285*56275)</f>
        <v>0</v>
      </c>
      <c r="AD285" s="3">
        <f>IF(AA$280=V285,K$14*Y285*56275)</f>
        <v>0</v>
      </c>
      <c r="AE285" s="3">
        <f t="shared" si="105"/>
        <v>0</v>
      </c>
      <c r="AF285" s="126"/>
      <c r="AG285" s="126"/>
      <c r="AH285" s="126"/>
      <c r="AI285" s="126"/>
      <c r="AJ285" s="126"/>
      <c r="AK285" s="126"/>
      <c r="AL285" s="126"/>
      <c r="AM285" s="126"/>
      <c r="AN285" s="126"/>
      <c r="AO285" s="126"/>
      <c r="AP285" s="126"/>
      <c r="AQ285" s="126"/>
      <c r="AR285" s="126"/>
      <c r="AS285" s="126"/>
      <c r="AT285" s="126"/>
      <c r="AU285" s="126"/>
      <c r="AV285" s="126"/>
      <c r="AX285" s="126"/>
      <c r="AY285" s="126"/>
      <c r="AZ285" s="126"/>
      <c r="BA285" s="126"/>
      <c r="BB285" s="126"/>
      <c r="BC285" s="126"/>
      <c r="BD285" s="126"/>
      <c r="BE285" s="126"/>
      <c r="BF285" s="126"/>
      <c r="BG285" s="126"/>
      <c r="BH285" s="126"/>
      <c r="BI285" s="126"/>
      <c r="BL285" s="126"/>
      <c r="BM285" s="126"/>
    </row>
    <row r="286" spans="6:65" hidden="1">
      <c r="F286" s="2"/>
      <c r="G286" s="17"/>
      <c r="H286" s="2"/>
      <c r="I286" s="2"/>
      <c r="J286" s="2"/>
      <c r="K286" s="2"/>
      <c r="L286" s="2"/>
      <c r="M286" s="2"/>
      <c r="N286" s="2"/>
      <c r="O286" s="2"/>
      <c r="P286" s="2"/>
      <c r="Q286" s="2"/>
      <c r="R286" s="2"/>
      <c r="S286" s="2"/>
      <c r="T286" s="2"/>
      <c r="V286" s="2"/>
      <c r="W286" s="2"/>
      <c r="X286" s="2"/>
      <c r="Y286" s="2"/>
      <c r="Z286" s="2"/>
      <c r="AA286" s="2"/>
      <c r="AB286" s="2"/>
      <c r="AC286" s="2"/>
      <c r="AD286" s="2"/>
      <c r="AE286" s="2"/>
      <c r="AF286" s="2"/>
      <c r="AG286" s="2"/>
      <c r="AH286" s="2"/>
      <c r="AI286" s="2"/>
      <c r="AJ286" s="2"/>
      <c r="AK286" s="2"/>
      <c r="AL286" s="2"/>
      <c r="AM286" s="2"/>
      <c r="AN286" s="2"/>
      <c r="AO286" s="2"/>
      <c r="AP286" s="2"/>
      <c r="AQ286" s="2"/>
      <c r="AR286" s="2"/>
      <c r="AS286" s="2"/>
      <c r="AT286" s="2"/>
      <c r="AU286" s="2"/>
      <c r="AV286" s="2"/>
      <c r="AX286" s="2"/>
      <c r="AY286" s="2"/>
      <c r="AZ286" s="2"/>
      <c r="BA286" s="2"/>
      <c r="BB286" s="2"/>
      <c r="BC286" s="2"/>
      <c r="BD286" s="2"/>
      <c r="BE286" s="2"/>
      <c r="BF286" s="2"/>
      <c r="BG286" s="2"/>
      <c r="BH286" s="2"/>
      <c r="BI286" s="2"/>
      <c r="BL286" s="2"/>
      <c r="BM286" s="2"/>
    </row>
    <row r="287" spans="6:65" hidden="1">
      <c r="F287" s="2"/>
      <c r="G287" s="2"/>
      <c r="H287" s="2"/>
      <c r="I287" s="12" t="s">
        <v>70</v>
      </c>
      <c r="J287" s="2" t="s">
        <v>58</v>
      </c>
      <c r="K287" s="2" t="s">
        <v>58</v>
      </c>
      <c r="L287" s="12" t="s">
        <v>59</v>
      </c>
      <c r="M287" s="2" t="s">
        <v>60</v>
      </c>
      <c r="N287" s="2" t="s">
        <v>61</v>
      </c>
      <c r="O287" s="2" t="s">
        <v>62</v>
      </c>
      <c r="P287" s="2"/>
      <c r="Q287" s="2"/>
      <c r="R287" s="2"/>
      <c r="S287" s="2"/>
      <c r="T287" s="2"/>
      <c r="V287" s="2"/>
      <c r="W287" s="2"/>
      <c r="X287" s="2"/>
      <c r="Y287" s="12" t="s">
        <v>70</v>
      </c>
      <c r="Z287" s="2" t="s">
        <v>58</v>
      </c>
      <c r="AA287" s="2" t="s">
        <v>58</v>
      </c>
      <c r="AB287" s="12" t="s">
        <v>59</v>
      </c>
      <c r="AC287" s="2" t="s">
        <v>60</v>
      </c>
      <c r="AD287" s="2" t="s">
        <v>61</v>
      </c>
      <c r="AE287" s="2" t="s">
        <v>62</v>
      </c>
      <c r="AF287" s="2"/>
      <c r="AG287" s="2"/>
      <c r="AH287" s="2"/>
      <c r="AI287" s="2"/>
      <c r="AJ287" s="2"/>
      <c r="AK287" s="2"/>
      <c r="AL287" s="2"/>
      <c r="AM287" s="12" t="s">
        <v>70</v>
      </c>
      <c r="AN287" s="2" t="s">
        <v>58</v>
      </c>
      <c r="AO287" s="2" t="s">
        <v>58</v>
      </c>
      <c r="AP287" s="12" t="s">
        <v>59</v>
      </c>
      <c r="AQ287" s="2" t="s">
        <v>60</v>
      </c>
      <c r="AR287" s="2" t="s">
        <v>61</v>
      </c>
      <c r="AS287" s="2" t="s">
        <v>62</v>
      </c>
      <c r="AT287" s="2"/>
      <c r="AU287" s="2"/>
      <c r="AV287" s="2"/>
      <c r="AX287" s="2"/>
      <c r="AY287" s="2"/>
      <c r="AZ287" s="2"/>
      <c r="BA287" s="12" t="s">
        <v>70</v>
      </c>
      <c r="BB287" s="2" t="s">
        <v>58</v>
      </c>
      <c r="BC287" s="2" t="s">
        <v>58</v>
      </c>
      <c r="BD287" s="12" t="s">
        <v>59</v>
      </c>
      <c r="BE287" s="2" t="s">
        <v>60</v>
      </c>
      <c r="BF287" s="2" t="s">
        <v>61</v>
      </c>
      <c r="BG287" s="2" t="s">
        <v>62</v>
      </c>
      <c r="BH287" s="2"/>
      <c r="BI287" s="2"/>
      <c r="BL287" s="2"/>
      <c r="BM287" s="2"/>
    </row>
    <row r="288" spans="6:65" hidden="1">
      <c r="F288" s="2">
        <v>1</v>
      </c>
      <c r="G288" s="3" t="s">
        <v>83</v>
      </c>
      <c r="H288" s="3"/>
      <c r="I288" s="3" t="str">
        <f>IF(I250=1,6.6,"")</f>
        <v/>
      </c>
      <c r="J288" s="3" t="str">
        <f>IF((J$9=G288),F288,"")</f>
        <v/>
      </c>
      <c r="K288" s="3" t="str">
        <f>IFERROR(SMALL(J$288:J$292,F288),"")</f>
        <v/>
      </c>
      <c r="L288" s="3">
        <v>177</v>
      </c>
      <c r="M288" s="3" t="b">
        <f>IF(K$288=F288,J$13*I288*4281)</f>
        <v>0</v>
      </c>
      <c r="N288" s="3" t="b">
        <f>IF(K$288=F288,J$14*I288*4281)</f>
        <v>0</v>
      </c>
      <c r="O288" s="3">
        <f>(((M288-N288)/1000)*0.000001)*J$7</f>
        <v>0</v>
      </c>
      <c r="P288" s="2" t="s">
        <v>64</v>
      </c>
      <c r="Q288" s="2"/>
      <c r="R288" s="2"/>
      <c r="S288" s="2"/>
      <c r="T288" s="2"/>
      <c r="V288" s="2">
        <v>1</v>
      </c>
      <c r="W288" s="3" t="s">
        <v>83</v>
      </c>
      <c r="X288" s="3"/>
      <c r="Y288" s="3" t="str">
        <f>IF(Y250=1,6.6,"")</f>
        <v/>
      </c>
      <c r="Z288" s="3" t="str">
        <f>IF((K$9=W288),V288,"")</f>
        <v/>
      </c>
      <c r="AA288" s="3" t="str">
        <f>IFERROR(SMALL(Z$288:Z$292,V288),"")</f>
        <v/>
      </c>
      <c r="AB288" s="3">
        <v>177</v>
      </c>
      <c r="AC288" s="3" t="b">
        <f>IF(AA$288=V288,K$13*Y288*4281)</f>
        <v>0</v>
      </c>
      <c r="AD288" s="3" t="b">
        <f>IF(AA$288=V288,K$14*Y288*4281)</f>
        <v>0</v>
      </c>
      <c r="AE288" s="3">
        <f>(((AC288-AD288)/1000)*0.000001)*K$7</f>
        <v>0</v>
      </c>
      <c r="AF288" s="2" t="s">
        <v>64</v>
      </c>
      <c r="AG288" s="2"/>
      <c r="AH288" s="2"/>
      <c r="AI288" s="2"/>
      <c r="AJ288" s="2">
        <v>1</v>
      </c>
      <c r="AK288" s="3" t="s">
        <v>83</v>
      </c>
      <c r="AL288" s="3"/>
      <c r="AM288" s="3" t="str">
        <f>IF(AM250=1,6.6,"")</f>
        <v/>
      </c>
      <c r="AN288" s="3" t="str">
        <f>IF((L$9=AK288),AJ288,"")</f>
        <v/>
      </c>
      <c r="AO288" s="3" t="str">
        <f>IFERROR(SMALL(AN$288:AN$292,AJ288),"")</f>
        <v/>
      </c>
      <c r="AP288" s="3">
        <v>177</v>
      </c>
      <c r="AQ288" s="3" t="b">
        <f>IF(AO$288=AJ288,L$13*AM288*4281)</f>
        <v>0</v>
      </c>
      <c r="AR288" s="3" t="b">
        <f>IF(AO$288=AJ288,L$14*AM288*4281)</f>
        <v>0</v>
      </c>
      <c r="AS288" s="3">
        <f>(((AQ288-AR288)/1000)*0.000001)*L$7</f>
        <v>0</v>
      </c>
      <c r="AT288" s="2" t="s">
        <v>64</v>
      </c>
      <c r="AU288" s="2"/>
      <c r="AV288" s="2"/>
      <c r="AX288" s="2">
        <v>1</v>
      </c>
      <c r="AY288" s="3" t="s">
        <v>83</v>
      </c>
      <c r="AZ288" s="3"/>
      <c r="BA288" s="3" t="str">
        <f>IF(BA250=1,6.6,"")</f>
        <v/>
      </c>
      <c r="BB288" s="3" t="str">
        <f>IF((M$9=AY288),AX288,"")</f>
        <v/>
      </c>
      <c r="BC288" s="3" t="str">
        <f>IFERROR(SMALL(BB$288:BB$292,AX288),"")</f>
        <v/>
      </c>
      <c r="BD288" s="3">
        <v>177</v>
      </c>
      <c r="BE288" s="3" t="b">
        <f>IF(BC$288=AX288,M$13*BA288*4281)</f>
        <v>0</v>
      </c>
      <c r="BF288" s="3" t="b">
        <f>IF(BC$288=AX288,M$14*BA288*4281)</f>
        <v>0</v>
      </c>
      <c r="BG288" s="3">
        <f>(((BE288-BF288)/1000)*0.000001)*M$7</f>
        <v>0</v>
      </c>
      <c r="BH288" s="2" t="s">
        <v>64</v>
      </c>
      <c r="BI288" s="2"/>
      <c r="BL288" s="2" t="s">
        <v>64</v>
      </c>
      <c r="BM288" s="2"/>
    </row>
    <row r="289" spans="6:65" hidden="1">
      <c r="F289" s="2">
        <v>2</v>
      </c>
      <c r="G289" s="3" t="s">
        <v>151</v>
      </c>
      <c r="H289" s="3"/>
      <c r="I289" s="3" t="str">
        <f>IF(N250=1,0.7747, IF(N250=2, 5.31, IF(N250=3, 5.5, IF(N250=4, 4.3, IF(N250=5, 2.65, IF(N250=6, 1.51, IF(N250=7, 0.291, IF(N250=8, 0.291,""))))))))</f>
        <v/>
      </c>
      <c r="J289" s="3" t="str">
        <f>IF((J$9=G289),F289,"")</f>
        <v/>
      </c>
      <c r="K289" s="3" t="str">
        <f>IFERROR(SMALL(J$288:J$292,F289),"")</f>
        <v/>
      </c>
      <c r="L289" s="3">
        <v>101</v>
      </c>
      <c r="M289" s="3" t="b">
        <f>IF(K$288=F289,J$13*I289*23713)</f>
        <v>0</v>
      </c>
      <c r="N289" s="3" t="b">
        <f>IF(K$288=F289,J$14*I289*23713)</f>
        <v>0</v>
      </c>
      <c r="O289" s="3">
        <f t="shared" ref="O289:O292" si="114">(((M289-N289)/1000)*0.000001)*J$7</f>
        <v>0</v>
      </c>
      <c r="P289" s="2" t="s">
        <v>64</v>
      </c>
      <c r="Q289" s="2"/>
      <c r="R289" s="2"/>
      <c r="S289" s="2"/>
      <c r="T289" s="2"/>
      <c r="V289" s="2">
        <v>2</v>
      </c>
      <c r="W289" s="3" t="s">
        <v>151</v>
      </c>
      <c r="X289" s="3"/>
      <c r="Y289" s="3" t="str">
        <f>IF(AD250=1,0.7747, IF(AD250=2, 5.31, IF(AD250=3, 5.5, IF(AD250=4, 4.3, IF(AD250=5, 2.65, IF(AD250=6, 1.51, IF(AD250=7, 0.291, IF(AD250=8, 0.291,""))))))))</f>
        <v/>
      </c>
      <c r="Z289" s="3" t="str">
        <f>IF((K$9=W289),V289,"")</f>
        <v/>
      </c>
      <c r="AA289" s="3" t="str">
        <f>IFERROR(SMALL(Z$288:Z$292,V289),"")</f>
        <v/>
      </c>
      <c r="AB289" s="3">
        <v>101</v>
      </c>
      <c r="AC289" s="3" t="b">
        <f>IF(AA$288=V289,K$13*Y289*23713)</f>
        <v>0</v>
      </c>
      <c r="AD289" s="3" t="b">
        <f>IF(AA$288=V289,K$14*Y289*23713)</f>
        <v>0</v>
      </c>
      <c r="AE289" s="3">
        <f>(((AC289-AD289)/1000)*0.000001)*K$7</f>
        <v>0</v>
      </c>
      <c r="AF289" s="2" t="s">
        <v>64</v>
      </c>
      <c r="AG289" s="2"/>
      <c r="AH289" s="2"/>
      <c r="AI289" s="2"/>
      <c r="AJ289" s="2">
        <v>2</v>
      </c>
      <c r="AK289" s="3" t="s">
        <v>151</v>
      </c>
      <c r="AL289" s="3"/>
      <c r="AM289" s="3" t="str">
        <f>IF(AR250=1,0.7747, IF(AR250=2, 5.31, IF(AR250=3, 5.5, IF(AR250=4, 4.3, IF(AR250=5, 2.65, IF(AR250=6, 1.51, IF(AR250=7, 0.291, IF(AR250=8, 0.291,""))))))))</f>
        <v/>
      </c>
      <c r="AN289" s="3" t="str">
        <f>IF((L$9=AK289),AJ289,"")</f>
        <v/>
      </c>
      <c r="AO289" s="3" t="str">
        <f>IFERROR(SMALL(AN$288:AN$292,AJ289),"")</f>
        <v/>
      </c>
      <c r="AP289" s="3">
        <v>101</v>
      </c>
      <c r="AQ289" s="3" t="b">
        <f>IF(AO$288=AJ289,L$13*AM289*23713)</f>
        <v>0</v>
      </c>
      <c r="AR289" s="3" t="b">
        <f>IF(AO$288=AJ289,L$14*AM289*23713)</f>
        <v>0</v>
      </c>
      <c r="AS289" s="3">
        <f>(((AQ289-AR289)/1000)*0.000001)*L$7</f>
        <v>0</v>
      </c>
      <c r="AT289" s="2" t="s">
        <v>64</v>
      </c>
      <c r="AU289" s="2"/>
      <c r="AV289" s="2"/>
      <c r="AX289" s="2">
        <v>2</v>
      </c>
      <c r="AY289" s="3" t="s">
        <v>151</v>
      </c>
      <c r="AZ289" s="3"/>
      <c r="BA289" s="3" t="str">
        <f>IF(BF250=1,0.7747, IF(BF250=2, 5.31, IF(BF250=3, 5.5, IF(BF250=4, 4.3, IF(BF250=5, 2.65, IF(BF250=6, 1.51, IF(BF250=7, 0.291, IF(BF250=8, 0.291,""))))))))</f>
        <v/>
      </c>
      <c r="BB289" s="3" t="str">
        <f t="shared" ref="BB289:BB292" si="115">IF((M$9=AY289),AX289,"")</f>
        <v/>
      </c>
      <c r="BC289" s="3" t="str">
        <f>IFERROR(SMALL(BB$288:BB$292,AX289),"")</f>
        <v/>
      </c>
      <c r="BD289" s="3">
        <v>101</v>
      </c>
      <c r="BE289" s="3" t="b">
        <f>IF(BC$288=AX289,M$13*BA289*23713)</f>
        <v>0</v>
      </c>
      <c r="BF289" s="3" t="b">
        <f>IF(BC$288=AX289,M$14*BA289*23713)</f>
        <v>0</v>
      </c>
      <c r="BG289" s="3">
        <f t="shared" ref="BG289:BG292" si="116">(((BE289-BF289)/1000)*0.000001)*M$7</f>
        <v>0</v>
      </c>
      <c r="BH289" s="2" t="s">
        <v>64</v>
      </c>
      <c r="BI289" s="2"/>
      <c r="BL289" s="2" t="s">
        <v>64</v>
      </c>
      <c r="BM289" s="2"/>
    </row>
    <row r="290" spans="6:65" hidden="1">
      <c r="F290" s="2">
        <v>3</v>
      </c>
      <c r="G290" s="3" t="s">
        <v>152</v>
      </c>
      <c r="H290" s="3"/>
      <c r="I290" s="3" t="str">
        <f>IF(N250=1,2.836, IF(N250=2,5.31, IF(N250=3, 5.5, IF(N250=4, 4.3, IF(N250=5, 2.65, IF(N250=6, 1.51, IF(N250=7, 0.291, IF(N250=8, 0.291,""))))))))</f>
        <v/>
      </c>
      <c r="J290" s="3" t="str">
        <f>IF((J$9=G290),F290,"")</f>
        <v/>
      </c>
      <c r="K290" s="3" t="str">
        <f>IFERROR(SMALL(J$288:J$292,F290),"")</f>
        <v/>
      </c>
      <c r="L290" s="3">
        <v>155</v>
      </c>
      <c r="M290" s="3" t="b">
        <f>IF(K$288=F290,J$13*I290*39994)</f>
        <v>0</v>
      </c>
      <c r="N290" s="3" t="b">
        <f>IF(K$288=F290,J$14*I290*39994)</f>
        <v>0</v>
      </c>
      <c r="O290" s="3">
        <f t="shared" si="114"/>
        <v>0</v>
      </c>
      <c r="P290" s="2" t="s">
        <v>64</v>
      </c>
      <c r="Q290" s="2"/>
      <c r="R290" s="2"/>
      <c r="S290" s="2"/>
      <c r="T290" s="2"/>
      <c r="V290" s="2">
        <v>3</v>
      </c>
      <c r="W290" s="3" t="s">
        <v>152</v>
      </c>
      <c r="X290" s="3"/>
      <c r="Y290" s="3" t="str">
        <f>IF(AD250=1,2.836, IF(AD250=2,5.31, IF(AD250=3, 5.5, IF(AD250=4, 4.3, IF(AD250=5, 2.65, IF(AD250=6, 1.51, IF(AD250=7, 0.291, IF(AD250=8, 0.291,""))))))))</f>
        <v/>
      </c>
      <c r="Z290" s="3" t="str">
        <f>IF((K$9=W290),V290,"")</f>
        <v/>
      </c>
      <c r="AA290" s="3" t="str">
        <f>IFERROR(SMALL(Z$288:Z$292,V290),"")</f>
        <v/>
      </c>
      <c r="AB290" s="3">
        <v>155</v>
      </c>
      <c r="AC290" s="3" t="b">
        <f>IF(AA$288=V290,K$13*Y290*39994)</f>
        <v>0</v>
      </c>
      <c r="AD290" s="3" t="b">
        <f>IF(AA$288=V290,K$14*Y290*39994)</f>
        <v>0</v>
      </c>
      <c r="AE290" s="3">
        <f>(((AC290-AD290)/1000)*0.000001)*K$7</f>
        <v>0</v>
      </c>
      <c r="AF290" s="2" t="s">
        <v>64</v>
      </c>
      <c r="AG290" s="2"/>
      <c r="AH290" s="2"/>
      <c r="AI290" s="2"/>
      <c r="AJ290" s="2">
        <v>3</v>
      </c>
      <c r="AK290" s="3" t="s">
        <v>152</v>
      </c>
      <c r="AL290" s="3"/>
      <c r="AM290" s="3" t="str">
        <f>IF(AR250=1,2.836, IF(AR250=2,5.31, IF(AR250=3, 5.5, IF(AR250=4, 4.3, IF(AR250=5, 2.65, IF(AR250=6, 1.51, IF(AR250=7, 0.291, IF(AR250=8, 0.291,""))))))))</f>
        <v/>
      </c>
      <c r="AN290" s="3" t="str">
        <f>IF((L$9=AK290),AJ290,"")</f>
        <v/>
      </c>
      <c r="AO290" s="3" t="str">
        <f>IFERROR(SMALL(AN$288:AN$292,AJ290),"")</f>
        <v/>
      </c>
      <c r="AP290" s="3">
        <v>155</v>
      </c>
      <c r="AQ290" s="3" t="b">
        <f>IF(AO$288=AJ290,L$13*AM290*39994)</f>
        <v>0</v>
      </c>
      <c r="AR290" s="3" t="b">
        <f>IF(AO$288=AJ290,L$14*AM290*39994)</f>
        <v>0</v>
      </c>
      <c r="AS290" s="3">
        <f>(((AQ290-AR290)/1000)*0.000001)*L$7</f>
        <v>0</v>
      </c>
      <c r="AT290" s="2" t="s">
        <v>64</v>
      </c>
      <c r="AU290" s="2"/>
      <c r="AV290" s="2"/>
      <c r="AX290" s="2">
        <v>3</v>
      </c>
      <c r="AY290" s="3" t="s">
        <v>152</v>
      </c>
      <c r="AZ290" s="3"/>
      <c r="BA290" s="3" t="str">
        <f>IF(BF250=1,2.836, IF(BF250=2,5.31, IF(BF250=3, 5.5, IF(BF250=4, 4.3, IF(BF250=5, 2.65, IF(BF250=6, 1.51, IF(BF250=7, 0.291, IF(BF250=8, 0.291,""))))))))</f>
        <v/>
      </c>
      <c r="BB290" s="3" t="str">
        <f t="shared" si="115"/>
        <v/>
      </c>
      <c r="BC290" s="3" t="str">
        <f>IFERROR(SMALL(BB$288:BB$292,AX290),"")</f>
        <v/>
      </c>
      <c r="BD290" s="3">
        <v>155</v>
      </c>
      <c r="BE290" s="3" t="b">
        <f>IF(BC$288=AX290,M$13*BA290*39994)</f>
        <v>0</v>
      </c>
      <c r="BF290" s="3" t="b">
        <f>IF(BC$288=AX290,M$14*BA290*39994)</f>
        <v>0</v>
      </c>
      <c r="BG290" s="3">
        <f t="shared" si="116"/>
        <v>0</v>
      </c>
      <c r="BH290" s="2" t="s">
        <v>64</v>
      </c>
      <c r="BI290" s="2"/>
      <c r="BL290" s="2" t="s">
        <v>64</v>
      </c>
      <c r="BM290" s="2"/>
    </row>
    <row r="291" spans="6:65" hidden="1">
      <c r="F291" s="2">
        <v>4</v>
      </c>
      <c r="G291" s="3" t="s">
        <v>153</v>
      </c>
      <c r="H291" s="3"/>
      <c r="I291" s="3" t="str">
        <f>IF(N250=1,4.0791, IF(N250=2, 7.52, IF(N250=3, 7.91, IF(N250=4, 6.27, IF(N250=5,3.83, IF(N250=6,2.18, IF(N250=7,0.422,IF(N250=8, 0.422,""))))))))</f>
        <v/>
      </c>
      <c r="J291" s="3" t="str">
        <f>IF((J$9=G291),F291,"")</f>
        <v/>
      </c>
      <c r="K291" s="3" t="str">
        <f>IFERROR(SMALL(J$288:J$292,F291),"")</f>
        <v/>
      </c>
      <c r="L291" s="3">
        <v>210</v>
      </c>
      <c r="M291" s="3" t="b">
        <f>IF(K$288=F291,J$13*I291*56275)</f>
        <v>0</v>
      </c>
      <c r="N291" s="3" t="b">
        <f>IF(K$288=F291,J$14*I291*56275)</f>
        <v>0</v>
      </c>
      <c r="O291" s="3">
        <f t="shared" si="114"/>
        <v>0</v>
      </c>
      <c r="P291" s="2" t="s">
        <v>64</v>
      </c>
      <c r="Q291" s="2"/>
      <c r="R291" s="2"/>
      <c r="S291" s="2"/>
      <c r="T291" s="2"/>
      <c r="V291" s="2">
        <v>4</v>
      </c>
      <c r="W291" s="3" t="s">
        <v>153</v>
      </c>
      <c r="X291" s="3"/>
      <c r="Y291" s="3" t="str">
        <f>IF(AD250=1,4.0791, IF(AD250=2, 7.52, IF(AD250=3, 7.91, IF(AD250=4, 6.27, IF(AD250=5,3.83, IF(AD250=6,2.18, IF(AD250=7,0.422,IF(AD250=8, 0.422,""))))))))</f>
        <v/>
      </c>
      <c r="Z291" s="3" t="str">
        <f>IF((K$9=W291),V291,"")</f>
        <v/>
      </c>
      <c r="AA291" s="3" t="str">
        <f>IFERROR(SMALL(Z$288:Z$292,V291),"")</f>
        <v/>
      </c>
      <c r="AB291" s="3">
        <v>210</v>
      </c>
      <c r="AC291" s="3" t="b">
        <f>IF(AA$288=V291,K$13*Y291*56275)</f>
        <v>0</v>
      </c>
      <c r="AD291" s="3" t="b">
        <f>IF(AA$288=V291,K$14*Y291*56275)</f>
        <v>0</v>
      </c>
      <c r="AE291" s="3">
        <f>(((AC291-AD291)/1000)*0.000001)*K$7</f>
        <v>0</v>
      </c>
      <c r="AF291" s="2" t="s">
        <v>64</v>
      </c>
      <c r="AG291" s="2"/>
      <c r="AH291" s="2"/>
      <c r="AI291" s="2"/>
      <c r="AJ291" s="2">
        <v>4</v>
      </c>
      <c r="AK291" s="3" t="s">
        <v>153</v>
      </c>
      <c r="AL291" s="3"/>
      <c r="AM291" s="3" t="str">
        <f>IF(AR250=1,4.0791, IF(AR250=2, 7.52, IF(AR250=3, 7.91, IF(AR250=4, 6.27, IF(AR250=5,3.83, IF(AR250=6,2.18, IF(AR250=7,0.422,IF(AR250=8, 0.422,""))))))))</f>
        <v/>
      </c>
      <c r="AN291" s="3" t="str">
        <f>IF((L$9=AK291),AJ291,"")</f>
        <v/>
      </c>
      <c r="AO291" s="3" t="str">
        <f>IFERROR(SMALL(AN$288:AN$292,AJ291),"")</f>
        <v/>
      </c>
      <c r="AP291" s="3">
        <v>210</v>
      </c>
      <c r="AQ291" s="3" t="b">
        <f>IF(AO$288=AJ291,L$13*AM291*56275)</f>
        <v>0</v>
      </c>
      <c r="AR291" s="3" t="b">
        <f>IF(AO$288=AJ291,L$14*AM291*56275)</f>
        <v>0</v>
      </c>
      <c r="AS291" s="3">
        <f>(((AQ291-AR291)/1000)*0.000001)*L$7</f>
        <v>0</v>
      </c>
      <c r="AT291" s="2" t="s">
        <v>64</v>
      </c>
      <c r="AU291" s="2"/>
      <c r="AV291" s="2"/>
      <c r="AX291" s="2">
        <v>4</v>
      </c>
      <c r="AY291" s="3" t="s">
        <v>153</v>
      </c>
      <c r="AZ291" s="3"/>
      <c r="BA291" s="3" t="str">
        <f>IF(BF250=1,4.0791, IF(BF250=2, 7.52, IF(BF250=3, 7.91, IF(BF250=4, 6.27, IF(BF250=5,3.83, IF(BF250=6,2.18, IF(BF250=7,0.422,IF(BF250=8, 0.422,""))))))))</f>
        <v/>
      </c>
      <c r="BB291" s="3" t="str">
        <f t="shared" si="115"/>
        <v/>
      </c>
      <c r="BC291" s="3" t="str">
        <f>IFERROR(SMALL(BB$288:BB$292,AX291),"")</f>
        <v/>
      </c>
      <c r="BD291" s="3">
        <v>210</v>
      </c>
      <c r="BE291" s="3" t="b">
        <f>IF(BC$288=AX291,M$13*BA291*56275)</f>
        <v>0</v>
      </c>
      <c r="BF291" s="3" t="b">
        <f>IF(BC$288=AX291,M$14*BA291*56275)</f>
        <v>0</v>
      </c>
      <c r="BG291" s="3">
        <f t="shared" si="116"/>
        <v>0</v>
      </c>
      <c r="BH291" s="2" t="s">
        <v>64</v>
      </c>
      <c r="BI291" s="2"/>
      <c r="BL291" s="2" t="s">
        <v>64</v>
      </c>
      <c r="BM291" s="2"/>
    </row>
    <row r="292" spans="6:65" hidden="1">
      <c r="F292" s="2">
        <v>5</v>
      </c>
      <c r="G292" s="3" t="s">
        <v>154</v>
      </c>
      <c r="H292" s="3"/>
      <c r="I292" s="3" t="str">
        <f>IF(N250=1, 4.8691, IF(N250=2, 9.04, IF(N250=3, 9.36, IF(N250=4, 7.43, IF(N250=5, 4.61, IF(N250=6, 2.63, IF(N250=7, 0.507, IF(N250=8, 0.507,""))))))))</f>
        <v/>
      </c>
      <c r="J292" s="3" t="str">
        <f>IF((J$9=G292),F292,"")</f>
        <v/>
      </c>
      <c r="K292" s="3" t="str">
        <f>IFERROR(SMALL(J$288:J$292,F292),"")</f>
        <v/>
      </c>
      <c r="L292" s="3">
        <v>251</v>
      </c>
      <c r="M292" s="3" t="b">
        <f>IF(K$288=F292,J$13*I292*56275)</f>
        <v>0</v>
      </c>
      <c r="N292" s="3" t="b">
        <f>IF(K$288=F292,J$14*I292*56275)</f>
        <v>0</v>
      </c>
      <c r="O292" s="3">
        <f t="shared" si="114"/>
        <v>0</v>
      </c>
      <c r="P292" s="2" t="s">
        <v>64</v>
      </c>
      <c r="Q292" s="2"/>
      <c r="R292" s="2"/>
      <c r="S292" s="2"/>
      <c r="T292" s="2"/>
      <c r="V292" s="2">
        <v>5</v>
      </c>
      <c r="W292" s="3" t="s">
        <v>154</v>
      </c>
      <c r="X292" s="3"/>
      <c r="Y292" s="3" t="str">
        <f>IF(AD250=1, 4.8691, IF(AD250=2, 9.04, IF(AD250=3, 9.36, IF(AD250=4, 7.43, IF(AD250=5, 4.61, IF(AD250=6, 2.63, IF(AD250=7, 0.507, IF(AD250=8, 0.507,""))))))))</f>
        <v/>
      </c>
      <c r="Z292" s="3" t="str">
        <f>IF((K$9=W292),V292,"")</f>
        <v/>
      </c>
      <c r="AA292" s="3" t="str">
        <f>IFERROR(SMALL(Z$288:Z$292,V292),"")</f>
        <v/>
      </c>
      <c r="AB292" s="3">
        <v>251</v>
      </c>
      <c r="AC292" s="3" t="b">
        <f>IF(AA$272=V292,K$13*Y292*56275)</f>
        <v>0</v>
      </c>
      <c r="AD292" s="3" t="b">
        <f>IF(AA$288=V292,K$14*Y292*56275)</f>
        <v>0</v>
      </c>
      <c r="AE292" s="3">
        <f>(((AC292-AD292)/1000)*0.000001)*K$7</f>
        <v>0</v>
      </c>
      <c r="AF292" s="2" t="s">
        <v>64</v>
      </c>
      <c r="AG292" s="2"/>
      <c r="AH292" s="2"/>
      <c r="AI292" s="2"/>
      <c r="AJ292" s="2">
        <v>5</v>
      </c>
      <c r="AK292" s="3" t="s">
        <v>154</v>
      </c>
      <c r="AL292" s="3"/>
      <c r="AM292" s="3" t="str">
        <f>IF(AR250=1, 4.8691, IF(AR250=2, 9.04, IF(AR250=3, 9.36, IF(AR250=4, 7.43, IF(AR250=5, 4.61, IF(AR250=6, 2.63, IF(AR250=7, 0.507, IF(AR250=8, 0.507,""))))))))</f>
        <v/>
      </c>
      <c r="AN292" s="3" t="str">
        <f>IF((L$9=AK292),AJ292,"")</f>
        <v/>
      </c>
      <c r="AO292" s="3" t="str">
        <f>IFERROR(SMALL(AN$288:AN$292,AJ292),"")</f>
        <v/>
      </c>
      <c r="AP292" s="3">
        <v>251</v>
      </c>
      <c r="AQ292" s="3" t="b">
        <f>IF(AO$272=AJ292,L$13*AM292*56275)</f>
        <v>0</v>
      </c>
      <c r="AR292" s="3" t="b">
        <f>IF(AO$288=AJ292,L$14*AM292*56275)</f>
        <v>0</v>
      </c>
      <c r="AS292" s="3">
        <f>(((AQ292-AR292)/1000)*0.000001)*L$7</f>
        <v>0</v>
      </c>
      <c r="AT292" s="2" t="s">
        <v>64</v>
      </c>
      <c r="AU292" s="2"/>
      <c r="AV292" s="2"/>
      <c r="AX292" s="2">
        <v>5</v>
      </c>
      <c r="AY292" s="3" t="s">
        <v>154</v>
      </c>
      <c r="AZ292" s="3"/>
      <c r="BA292" s="3" t="str">
        <f>IF(BF250=1, 4.8691, IF(BF250=2, 9.04, IF(BF250=3, 9.36, IF(BF250=4, 7.43, IF(BF250=5, 4.61, IF(BF250=6, 2.63, IF(BF250=7, 0.507, IF(BF250=8, 0.507,""))))))))</f>
        <v/>
      </c>
      <c r="BB292" s="3" t="str">
        <f t="shared" si="115"/>
        <v/>
      </c>
      <c r="BC292" s="3" t="str">
        <f>IFERROR(SMALL(BB$288:BB$292,AX292),"")</f>
        <v/>
      </c>
      <c r="BD292" s="3">
        <v>251</v>
      </c>
      <c r="BE292" s="3" t="b">
        <f>IF(BC$272=AX292,M$13*BA292*56275)</f>
        <v>0</v>
      </c>
      <c r="BF292" s="3" t="b">
        <f>IF(BC$288=AX292,M$14*BA292*56275)</f>
        <v>0</v>
      </c>
      <c r="BG292" s="3">
        <f t="shared" si="116"/>
        <v>0</v>
      </c>
      <c r="BH292" s="2" t="s">
        <v>64</v>
      </c>
      <c r="BI292" s="2"/>
      <c r="BL292" s="2" t="s">
        <v>64</v>
      </c>
      <c r="BM292" s="2"/>
    </row>
    <row r="293" spans="6:65" hidden="1">
      <c r="F293" s="2"/>
      <c r="G293" s="2"/>
      <c r="H293" s="2"/>
      <c r="I293" s="2"/>
      <c r="J293" s="2"/>
      <c r="K293" s="2"/>
      <c r="L293" s="2"/>
      <c r="M293" s="2"/>
      <c r="N293" s="2"/>
      <c r="O293" s="2"/>
      <c r="P293" s="2"/>
      <c r="Q293" s="2"/>
      <c r="R293" s="2"/>
      <c r="S293" s="2"/>
      <c r="T293" s="2"/>
      <c r="V293" s="2"/>
      <c r="W293" s="2"/>
      <c r="X293" s="2"/>
      <c r="Y293" s="2"/>
      <c r="Z293" s="2"/>
      <c r="AA293" s="2"/>
      <c r="AB293" s="2"/>
      <c r="AC293" s="2"/>
      <c r="AD293" s="2"/>
      <c r="AE293" s="2"/>
      <c r="AF293" s="2"/>
      <c r="AG293" s="2"/>
      <c r="AH293" s="2"/>
      <c r="AI293" s="2"/>
      <c r="AJ293" s="2"/>
      <c r="AK293" s="2"/>
      <c r="AL293" s="2"/>
      <c r="AM293" s="2"/>
      <c r="AN293" s="2"/>
      <c r="AO293" s="2"/>
      <c r="AP293" s="2"/>
      <c r="AQ293" s="2"/>
      <c r="AR293" s="2"/>
      <c r="AS293" s="2"/>
      <c r="AT293" s="2"/>
      <c r="AU293" s="2"/>
      <c r="AV293" s="2"/>
      <c r="AX293" s="2"/>
      <c r="AY293" s="2"/>
      <c r="AZ293" s="2"/>
      <c r="BA293" s="2"/>
      <c r="BB293" s="2"/>
      <c r="BC293" s="2"/>
      <c r="BD293" s="2"/>
      <c r="BE293" s="2"/>
      <c r="BF293" s="2"/>
      <c r="BG293" s="2"/>
      <c r="BH293" s="2"/>
      <c r="BI293" s="2"/>
      <c r="BL293" s="2"/>
      <c r="BM293" s="2"/>
    </row>
    <row r="294" spans="6:65" s="123" customFormat="1" hidden="1">
      <c r="F294" s="126"/>
      <c r="G294" s="126"/>
      <c r="H294" s="126"/>
      <c r="I294" s="127" t="s">
        <v>70</v>
      </c>
      <c r="J294" s="126" t="s">
        <v>58</v>
      </c>
      <c r="K294" s="126" t="s">
        <v>58</v>
      </c>
      <c r="L294" s="127" t="s">
        <v>59</v>
      </c>
      <c r="M294" s="126" t="s">
        <v>60</v>
      </c>
      <c r="N294" s="126" t="s">
        <v>61</v>
      </c>
      <c r="O294" s="126" t="s">
        <v>62</v>
      </c>
      <c r="P294" s="126"/>
      <c r="Q294" s="126"/>
      <c r="R294" s="126"/>
      <c r="S294" s="126"/>
      <c r="T294" s="126"/>
      <c r="V294" s="126"/>
      <c r="W294" s="126"/>
      <c r="X294" s="126"/>
      <c r="Y294" s="127" t="s">
        <v>70</v>
      </c>
      <c r="Z294" s="126" t="s">
        <v>58</v>
      </c>
      <c r="AA294" s="126" t="s">
        <v>58</v>
      </c>
      <c r="AB294" s="127" t="s">
        <v>59</v>
      </c>
      <c r="AC294" s="126" t="s">
        <v>60</v>
      </c>
      <c r="AD294" s="126" t="s">
        <v>61</v>
      </c>
      <c r="AE294" s="126" t="s">
        <v>62</v>
      </c>
      <c r="AF294" s="126"/>
      <c r="AG294" s="126"/>
      <c r="AH294" s="126"/>
      <c r="AI294" s="126"/>
      <c r="AJ294" s="126"/>
      <c r="AK294" s="126"/>
      <c r="AL294" s="126"/>
      <c r="AM294" s="127" t="s">
        <v>70</v>
      </c>
      <c r="AN294" s="126" t="s">
        <v>58</v>
      </c>
      <c r="AO294" s="126" t="s">
        <v>58</v>
      </c>
      <c r="AP294" s="127" t="s">
        <v>59</v>
      </c>
      <c r="AQ294" s="126" t="s">
        <v>60</v>
      </c>
      <c r="AR294" s="126" t="s">
        <v>61</v>
      </c>
      <c r="AS294" s="126" t="s">
        <v>62</v>
      </c>
      <c r="AT294" s="126"/>
      <c r="AU294" s="126"/>
      <c r="AV294" s="126"/>
      <c r="AX294" s="126"/>
      <c r="AY294" s="126"/>
      <c r="AZ294" s="126"/>
      <c r="BA294" s="127" t="s">
        <v>70</v>
      </c>
      <c r="BB294" s="126" t="s">
        <v>58</v>
      </c>
      <c r="BC294" s="126" t="s">
        <v>58</v>
      </c>
      <c r="BD294" s="127" t="s">
        <v>59</v>
      </c>
      <c r="BE294" s="126" t="s">
        <v>60</v>
      </c>
      <c r="BF294" s="126" t="s">
        <v>61</v>
      </c>
      <c r="BG294" s="126" t="s">
        <v>62</v>
      </c>
      <c r="BH294" s="126"/>
      <c r="BI294" s="126"/>
      <c r="BL294" s="126"/>
      <c r="BM294" s="126"/>
    </row>
    <row r="295" spans="6:65" s="123" customFormat="1" hidden="1">
      <c r="F295" s="126">
        <v>1</v>
      </c>
      <c r="G295" s="128" t="s">
        <v>83</v>
      </c>
      <c r="H295" s="128"/>
      <c r="I295" s="128" t="str">
        <f>IF(I260=1,6.6,"")</f>
        <v/>
      </c>
      <c r="J295" s="128" t="str">
        <f>IF((J$11=G295),F295,"")</f>
        <v/>
      </c>
      <c r="K295" s="128" t="str">
        <f>IFERROR(SMALL(J$295:J$299,F295),"")</f>
        <v/>
      </c>
      <c r="L295" s="128">
        <v>177</v>
      </c>
      <c r="M295" s="3" t="b">
        <f>IF(K$295=F295,J$13*I295*4281)</f>
        <v>0</v>
      </c>
      <c r="N295" s="3" t="b">
        <f>IF(K$295=F295,J$14*I295*4281)</f>
        <v>0</v>
      </c>
      <c r="O295" s="3">
        <f>(((M295-N295)/1000)*0.000001)*J$7</f>
        <v>0</v>
      </c>
      <c r="P295" s="126" t="s">
        <v>64</v>
      </c>
      <c r="Q295" s="126"/>
      <c r="R295" s="126"/>
      <c r="S295" s="126"/>
      <c r="T295" s="126"/>
      <c r="V295" s="126">
        <v>1</v>
      </c>
      <c r="W295" s="128" t="s">
        <v>83</v>
      </c>
      <c r="X295" s="128"/>
      <c r="Y295" s="128" t="str">
        <f>IF(Y260=1,6.6,"")</f>
        <v/>
      </c>
      <c r="Z295" s="128" t="str">
        <f>IF((K$11=W295),V295,"")</f>
        <v/>
      </c>
      <c r="AA295" s="128" t="str">
        <f>IFERROR(SMALL(Z$295:Z$299,V295),"")</f>
        <v/>
      </c>
      <c r="AB295" s="128">
        <v>177</v>
      </c>
      <c r="AC295" s="3" t="b">
        <f>IF(AA$295=V295,K$13*Y295*4281)</f>
        <v>0</v>
      </c>
      <c r="AD295" s="3" t="b">
        <f>IF(AA$295=V295,K$14*Y295*4281)</f>
        <v>0</v>
      </c>
      <c r="AE295" s="3">
        <f>(((AC295-AD295)/1000)*0.000001)*K$7</f>
        <v>0</v>
      </c>
      <c r="AF295" s="126" t="s">
        <v>64</v>
      </c>
      <c r="AG295" s="126"/>
      <c r="AH295" s="126"/>
      <c r="AI295" s="126"/>
      <c r="AJ295" s="126">
        <v>1</v>
      </c>
      <c r="AK295" s="128" t="s">
        <v>83</v>
      </c>
      <c r="AL295" s="128"/>
      <c r="AM295" s="128" t="str">
        <f>IF(AM260=1,6.6,"")</f>
        <v/>
      </c>
      <c r="AN295" s="128" t="str">
        <f>IF((L$11=AK295),AJ295,"")</f>
        <v/>
      </c>
      <c r="AO295" s="128" t="str">
        <f>IFERROR(SMALL(AN$295:AN$299,AJ295),"")</f>
        <v/>
      </c>
      <c r="AP295" s="128">
        <v>177</v>
      </c>
      <c r="AQ295" s="3" t="b">
        <f>IF(AO$295=AJ295,L$13*AM295*4281)</f>
        <v>0</v>
      </c>
      <c r="AR295" s="3" t="b">
        <f>IF(AO$295=AJ295,L$14*AM295*4281)</f>
        <v>0</v>
      </c>
      <c r="AS295" s="3">
        <f>(((AQ295-AR295)/1000)*0.000001)*L$7</f>
        <v>0</v>
      </c>
      <c r="AT295" s="126" t="s">
        <v>64</v>
      </c>
      <c r="AU295" s="126"/>
      <c r="AV295" s="126"/>
      <c r="AX295" s="126">
        <v>1</v>
      </c>
      <c r="AY295" s="128" t="s">
        <v>83</v>
      </c>
      <c r="AZ295" s="128"/>
      <c r="BA295" s="128" t="str">
        <f>IF(BA260=1,6.6,"")</f>
        <v/>
      </c>
      <c r="BB295" s="128" t="str">
        <f>IF((M$11=AY295),AX295,"")</f>
        <v/>
      </c>
      <c r="BC295" s="128" t="str">
        <f>IFERROR(SMALL(BB$295:BB$299,AX295),"")</f>
        <v/>
      </c>
      <c r="BD295" s="128">
        <v>177</v>
      </c>
      <c r="BE295" s="3" t="b">
        <f>IF(BC$295=AX295,M$13*BA295*4281)</f>
        <v>0</v>
      </c>
      <c r="BF295" s="3" t="b">
        <f>IF(BC$295=AX295,M$14*BA295*4281)</f>
        <v>0</v>
      </c>
      <c r="BG295" s="3">
        <f>(((BE295-BF295)/1000)*0.000001)*M$7</f>
        <v>0</v>
      </c>
      <c r="BH295" s="126" t="s">
        <v>64</v>
      </c>
      <c r="BI295" s="126"/>
      <c r="BL295" s="126" t="s">
        <v>64</v>
      </c>
      <c r="BM295" s="126"/>
    </row>
    <row r="296" spans="6:65" s="123" customFormat="1" hidden="1">
      <c r="F296" s="126">
        <v>2</v>
      </c>
      <c r="G296" s="128" t="s">
        <v>151</v>
      </c>
      <c r="H296" s="128"/>
      <c r="I296" s="128">
        <f>IF(N260=1,0.7747, IF(N260=2, 5.31, IF(N260=3, 5.5, IF(N260=4, 4.3, IF(N260=5, 2.65, IF(N260=6, 1.51, IF(N260=7, 0.291, IF(N260=8, 0.291,""))))))))</f>
        <v>0.77470000000000006</v>
      </c>
      <c r="J296" s="128" t="str">
        <f t="shared" ref="J296:J299" si="117">IF((J$11=G296),F296,"")</f>
        <v/>
      </c>
      <c r="K296" s="128" t="str">
        <f>IFERROR(SMALL(J$295:J$299,F296),"")</f>
        <v/>
      </c>
      <c r="L296" s="128">
        <v>101</v>
      </c>
      <c r="M296" s="3" t="b">
        <f>IF(K$295=F296,J$13*I296*23713)</f>
        <v>0</v>
      </c>
      <c r="N296" s="3" t="b">
        <f>IF(K$295=F296,J$14*I296*23713)</f>
        <v>0</v>
      </c>
      <c r="O296" s="3">
        <f>(((M296-N296)/1000)*0.000001)*J$7</f>
        <v>0</v>
      </c>
      <c r="P296" s="126" t="s">
        <v>64</v>
      </c>
      <c r="Q296" s="126"/>
      <c r="R296" s="126"/>
      <c r="S296" s="126"/>
      <c r="T296" s="126"/>
      <c r="V296" s="126">
        <v>2</v>
      </c>
      <c r="W296" s="128" t="s">
        <v>151</v>
      </c>
      <c r="X296" s="128"/>
      <c r="Y296" s="128">
        <f>IF(AD260=1,0.7747, IF(AD260=2, 5.31, IF(AD260=3, 5.5, IF(AD260=4, 4.3, IF(AD260=5, 2.65, IF(AD260=6, 1.51, IF(AD260=7, 0.291, IF(AD260=8, 0.291,""))))))))</f>
        <v>0.77470000000000006</v>
      </c>
      <c r="Z296" s="128" t="str">
        <f t="shared" ref="Z296:Z299" si="118">IF((K$11=W296),V296,"")</f>
        <v/>
      </c>
      <c r="AA296" s="128" t="str">
        <f>IFERROR(SMALL(Z$295:Z$299,V296),"")</f>
        <v/>
      </c>
      <c r="AB296" s="128">
        <v>101</v>
      </c>
      <c r="AC296" s="3" t="b">
        <f>IF(AA$295=V296,K$13*Y296*23713)</f>
        <v>0</v>
      </c>
      <c r="AD296" s="3" t="b">
        <f>IF(AA$295=V296,K$14*Y296*23713)</f>
        <v>0</v>
      </c>
      <c r="AE296" s="3">
        <f>(((AC296-AD296)/1000)*0.000001)*K$7</f>
        <v>0</v>
      </c>
      <c r="AF296" s="126" t="s">
        <v>64</v>
      </c>
      <c r="AG296" s="126"/>
      <c r="AH296" s="126"/>
      <c r="AI296" s="126"/>
      <c r="AJ296" s="126">
        <v>2</v>
      </c>
      <c r="AK296" s="128" t="s">
        <v>151</v>
      </c>
      <c r="AL296" s="128"/>
      <c r="AM296" s="128">
        <f>IF(AR260=1,0.7747, IF(AR260=2, 5.31, IF(AR260=3, 5.5, IF(AR260=4, 4.3, IF(AR260=5, 2.65, IF(AR260=6, 1.51, IF(AR260=7, 0.291, IF(AR260=8, 0.291,""))))))))</f>
        <v>0.77470000000000006</v>
      </c>
      <c r="AN296" s="128" t="str">
        <f t="shared" ref="AN296:AN299" si="119">IF((L$11=AK296),AJ296,"")</f>
        <v/>
      </c>
      <c r="AO296" s="128" t="str">
        <f>IFERROR(SMALL(AN$295:AN$299,AJ296),"")</f>
        <v/>
      </c>
      <c r="AP296" s="128">
        <v>101</v>
      </c>
      <c r="AQ296" s="3" t="b">
        <f>IF(AO$295=AJ296,L$13*AM296*23713)</f>
        <v>0</v>
      </c>
      <c r="AR296" s="3" t="b">
        <f>IF(AO$295=AJ296,L$14*AM296*23713)</f>
        <v>0</v>
      </c>
      <c r="AS296" s="3">
        <f>(((AQ296-AR296)/1000)*0.000001)*L$7</f>
        <v>0</v>
      </c>
      <c r="AT296" s="126" t="s">
        <v>64</v>
      </c>
      <c r="AU296" s="126"/>
      <c r="AV296" s="126"/>
      <c r="AX296" s="126">
        <v>2</v>
      </c>
      <c r="AY296" s="128" t="s">
        <v>151</v>
      </c>
      <c r="AZ296" s="128"/>
      <c r="BA296" s="128">
        <f>IF(BF260=1,0.7747, IF(BF260=2, 5.31, IF(BF260=3, 5.5, IF(BF260=4, 4.3, IF(BF260=5, 2.65, IF(BF260=6, 1.51, IF(BF260=7, 0.291, IF(BF260=8, 0.291,""))))))))</f>
        <v>0.77470000000000006</v>
      </c>
      <c r="BB296" s="128" t="str">
        <f t="shared" ref="BB296:BB299" si="120">IF((M$11=AY296),AX296,"")</f>
        <v/>
      </c>
      <c r="BC296" s="128" t="str">
        <f>IFERROR(SMALL(BB$295:BB$299,AX296),"")</f>
        <v/>
      </c>
      <c r="BD296" s="128">
        <v>101</v>
      </c>
      <c r="BE296" s="3" t="b">
        <f>IF(BC$295=AX296,M$13*BA296*23713)</f>
        <v>0</v>
      </c>
      <c r="BF296" s="3" t="b">
        <f>IF(BC$295=AX296,M$14*BA296*23713)</f>
        <v>0</v>
      </c>
      <c r="BG296" s="3">
        <f>(((BE296-BF296)/1000)*0.000001)*M$7</f>
        <v>0</v>
      </c>
      <c r="BH296" s="126" t="s">
        <v>64</v>
      </c>
      <c r="BI296" s="126"/>
      <c r="BL296" s="126" t="s">
        <v>64</v>
      </c>
      <c r="BM296" s="126"/>
    </row>
    <row r="297" spans="6:65" s="123" customFormat="1" hidden="1">
      <c r="F297" s="126">
        <v>3</v>
      </c>
      <c r="G297" s="128" t="s">
        <v>152</v>
      </c>
      <c r="H297" s="128"/>
      <c r="I297" s="128">
        <f>IF(N260=1,2.836, IF(N260=2,5.31, IF(N260=3, 5.5, IF(N260=4, 4.3, IF(N260=5, 2.65, IF(N260=6, 1.51, IF(N260=7, 0.291, IF(N260=8, 0.291,""))))))))</f>
        <v>2.8359999999999999</v>
      </c>
      <c r="J297" s="128" t="str">
        <f t="shared" si="117"/>
        <v/>
      </c>
      <c r="K297" s="128" t="str">
        <f>IFERROR(SMALL(J$295:J$299,F297),"")</f>
        <v/>
      </c>
      <c r="L297" s="128">
        <v>155</v>
      </c>
      <c r="M297" s="3" t="b">
        <f>IF(K$295=F297,J$13*I297*39994)</f>
        <v>0</v>
      </c>
      <c r="N297" s="3" t="b">
        <f>IF(K$295=F297,J$14*I297*39994)</f>
        <v>0</v>
      </c>
      <c r="O297" s="3">
        <f>(((M297-N297)/1000)*0.000001)*J$7</f>
        <v>0</v>
      </c>
      <c r="P297" s="126" t="s">
        <v>64</v>
      </c>
      <c r="Q297" s="126"/>
      <c r="R297" s="126"/>
      <c r="S297" s="126"/>
      <c r="T297" s="126"/>
      <c r="V297" s="126">
        <v>3</v>
      </c>
      <c r="W297" s="128" t="s">
        <v>152</v>
      </c>
      <c r="X297" s="128"/>
      <c r="Y297" s="128">
        <f>IF(AD260=1,2.836, IF(AD260=2,5.31, IF(AD260=3, 5.5, IF(AD260=4, 4.3, IF(AD260=5, 2.65, IF(AD260=6, 1.51, IF(AD260=7, 0.291, IF(AD260=8, 0.291,""))))))))</f>
        <v>2.8359999999999999</v>
      </c>
      <c r="Z297" s="128" t="str">
        <f t="shared" si="118"/>
        <v/>
      </c>
      <c r="AA297" s="128" t="str">
        <f>IFERROR(SMALL(Z$295:Z$299,V297),"")</f>
        <v/>
      </c>
      <c r="AB297" s="128">
        <v>155</v>
      </c>
      <c r="AC297" s="3" t="b">
        <f>IF(AA$295=V297,K$13*Y297*39994)</f>
        <v>0</v>
      </c>
      <c r="AD297" s="3" t="b">
        <f>IF(AA$295=V297,K$14*Y297*39994)</f>
        <v>0</v>
      </c>
      <c r="AE297" s="3">
        <f>(((AC297-AD297)/1000)*0.000001)*K$7</f>
        <v>0</v>
      </c>
      <c r="AF297" s="126" t="s">
        <v>64</v>
      </c>
      <c r="AG297" s="126"/>
      <c r="AH297" s="126"/>
      <c r="AI297" s="126"/>
      <c r="AJ297" s="126">
        <v>3</v>
      </c>
      <c r="AK297" s="128" t="s">
        <v>152</v>
      </c>
      <c r="AL297" s="128"/>
      <c r="AM297" s="128">
        <f>IF(AR260=1,2.836, IF(AR260=2,5.31, IF(AR260=3, 5.5, IF(AR260=4, 4.3, IF(AR260=5, 2.65, IF(AR260=6, 1.51, IF(AR260=7, 0.291, IF(AR260=8, 0.291,""))))))))</f>
        <v>2.8359999999999999</v>
      </c>
      <c r="AN297" s="128" t="str">
        <f t="shared" si="119"/>
        <v/>
      </c>
      <c r="AO297" s="128" t="str">
        <f>IFERROR(SMALL(AN$295:AN$299,AJ297),"")</f>
        <v/>
      </c>
      <c r="AP297" s="128">
        <v>155</v>
      </c>
      <c r="AQ297" s="3" t="b">
        <f>IF(AO$295=AJ297,L$13*AM297*39994)</f>
        <v>0</v>
      </c>
      <c r="AR297" s="3" t="b">
        <f>IF(AO$295=AJ297,L$14*AM297*39994)</f>
        <v>0</v>
      </c>
      <c r="AS297" s="3">
        <f>(((AQ297-AR297)/1000)*0.000001)*L$7</f>
        <v>0</v>
      </c>
      <c r="AT297" s="126" t="s">
        <v>64</v>
      </c>
      <c r="AU297" s="126"/>
      <c r="AV297" s="126"/>
      <c r="AX297" s="126">
        <v>3</v>
      </c>
      <c r="AY297" s="128" t="s">
        <v>152</v>
      </c>
      <c r="AZ297" s="128"/>
      <c r="BA297" s="128">
        <f>IF(BF260=1,2.836, IF(BF260=2,5.31, IF(BF260=3, 5.5, IF(BF260=4, 4.3, IF(BF260=5, 2.65, IF(BF260=6, 1.51, IF(BF260=7, 0.291, IF(BF260=8, 0.291,""))))))))</f>
        <v>2.8359999999999999</v>
      </c>
      <c r="BB297" s="128" t="str">
        <f t="shared" si="120"/>
        <v/>
      </c>
      <c r="BC297" s="128" t="str">
        <f>IFERROR(SMALL(BB$295:BB$299,AX297),"")</f>
        <v/>
      </c>
      <c r="BD297" s="128">
        <v>155</v>
      </c>
      <c r="BE297" s="3" t="b">
        <f>IF(BC$295=AX297,M$13*BA297*39994)</f>
        <v>0</v>
      </c>
      <c r="BF297" s="3" t="b">
        <f>IF(BC$295=AX297,M$14*BA297*39994)</f>
        <v>0</v>
      </c>
      <c r="BG297" s="3">
        <f>(((BE297-BF297)/1000)*0.000001)*M$7</f>
        <v>0</v>
      </c>
      <c r="BH297" s="126" t="s">
        <v>64</v>
      </c>
      <c r="BI297" s="126"/>
      <c r="BL297" s="126" t="s">
        <v>64</v>
      </c>
      <c r="BM297" s="126"/>
    </row>
    <row r="298" spans="6:65" s="123" customFormat="1" hidden="1">
      <c r="F298" s="126">
        <v>4</v>
      </c>
      <c r="G298" s="128" t="s">
        <v>153</v>
      </c>
      <c r="H298" s="128"/>
      <c r="I298" s="128">
        <f>IF(N260=1,4.0791, IF(N260=2, 7.52, IF(N260=3, 7.91, IF(N260=4, 6.27, IF(N260=5,3.83, IF(N260=6,2.18, IF(N260=7,0.422,IF(N260=8, 0.422,""))))))))</f>
        <v>4.0791000000000004</v>
      </c>
      <c r="J298" s="128" t="str">
        <f t="shared" si="117"/>
        <v/>
      </c>
      <c r="K298" s="128" t="str">
        <f t="shared" ref="K298:K299" si="121">IFERROR(SMALL(J$295:J$299,F298),"")</f>
        <v/>
      </c>
      <c r="L298" s="128">
        <v>210</v>
      </c>
      <c r="M298" s="3" t="b">
        <f>IF(K$295=F298,J$13*I298*56275)</f>
        <v>0</v>
      </c>
      <c r="N298" s="3" t="b">
        <f>IF(K$295=F298,J$14*I298*56275)</f>
        <v>0</v>
      </c>
      <c r="O298" s="3">
        <f>(((M298-N298)/1000)*0.000001)*J$7</f>
        <v>0</v>
      </c>
      <c r="P298" s="126" t="s">
        <v>64</v>
      </c>
      <c r="Q298" s="126"/>
      <c r="R298" s="126"/>
      <c r="S298" s="126"/>
      <c r="T298" s="126"/>
      <c r="V298" s="126">
        <v>4</v>
      </c>
      <c r="W298" s="128" t="s">
        <v>153</v>
      </c>
      <c r="X298" s="128"/>
      <c r="Y298" s="128">
        <f>IF(AD260=1,4.0791, IF(AD260=2, 7.52, IF(AD260=3, 7.91, IF(AD260=4, 6.27, IF(AD260=5,3.83, IF(AD260=6,2.18, IF(AD260=7,0.422,IF(AD260=8, 0.422,""))))))))</f>
        <v>4.0791000000000004</v>
      </c>
      <c r="Z298" s="128" t="str">
        <f t="shared" si="118"/>
        <v/>
      </c>
      <c r="AA298" s="128" t="str">
        <f t="shared" ref="AA298:AA299" si="122">IFERROR(SMALL(Z$295:Z$299,V298),"")</f>
        <v/>
      </c>
      <c r="AB298" s="128">
        <v>210</v>
      </c>
      <c r="AC298" s="3" t="b">
        <f>IF(AA$295=V298,K$13*Y298*56275)</f>
        <v>0</v>
      </c>
      <c r="AD298" s="3" t="b">
        <f>IF(AA$295=V298,K$14*Y298*56275)</f>
        <v>0</v>
      </c>
      <c r="AE298" s="3">
        <f>(((AC298-AD298)/1000)*0.000001)*K$7</f>
        <v>0</v>
      </c>
      <c r="AF298" s="126" t="s">
        <v>64</v>
      </c>
      <c r="AG298" s="126"/>
      <c r="AH298" s="126"/>
      <c r="AI298" s="126"/>
      <c r="AJ298" s="126">
        <v>4</v>
      </c>
      <c r="AK298" s="128" t="s">
        <v>153</v>
      </c>
      <c r="AL298" s="128"/>
      <c r="AM298" s="128">
        <f>IF(AR260=1,4.0791, IF(AR260=2, 7.52, IF(AR260=3, 7.91, IF(AR260=4, 6.27, IF(AR260=5,3.83, IF(AR260=6,2.18, IF(AR260=7,0.422,IF(AR260=8, 0.422,""))))))))</f>
        <v>4.0791000000000004</v>
      </c>
      <c r="AN298" s="128" t="str">
        <f t="shared" si="119"/>
        <v/>
      </c>
      <c r="AO298" s="128" t="str">
        <f>IFERROR(SMALL(AN$295:AN$299,AJ298),"")</f>
        <v/>
      </c>
      <c r="AP298" s="128">
        <v>210</v>
      </c>
      <c r="AQ298" s="3" t="b">
        <f>IF(AO$295=AJ298,L$13*AM298*56275)</f>
        <v>0</v>
      </c>
      <c r="AR298" s="3" t="b">
        <f>IF(AO$295=AJ298,L$14*AM298*56275)</f>
        <v>0</v>
      </c>
      <c r="AS298" s="3">
        <f>(((AQ298-AR298)/1000)*0.000001)*L$7</f>
        <v>0</v>
      </c>
      <c r="AT298" s="126" t="s">
        <v>64</v>
      </c>
      <c r="AU298" s="126"/>
      <c r="AV298" s="126"/>
      <c r="AX298" s="126">
        <v>4</v>
      </c>
      <c r="AY298" s="128" t="s">
        <v>153</v>
      </c>
      <c r="AZ298" s="128"/>
      <c r="BA298" s="128">
        <f>IF(BF260=1,4.0791, IF(BF260=2, 7.52, IF(BF260=3, 7.91, IF(BF260=4, 6.27, IF(BF260=5,3.83, IF(BF260=6,2.18, IF(BF260=7,0.422,IF(BF260=8, 0.422,""))))))))</f>
        <v>4.0791000000000004</v>
      </c>
      <c r="BB298" s="128" t="str">
        <f t="shared" si="120"/>
        <v/>
      </c>
      <c r="BC298" s="128" t="str">
        <f t="shared" ref="BC298:BC299" si="123">IFERROR(SMALL(BB$295:BB$299,AX298),"")</f>
        <v/>
      </c>
      <c r="BD298" s="128">
        <v>210</v>
      </c>
      <c r="BE298" s="3" t="b">
        <f>IF(BC$295=AX298,M$13*BA298*56275)</f>
        <v>0</v>
      </c>
      <c r="BF298" s="3" t="b">
        <f>IF(BC$295=AX298,M$14*BA298*56275)</f>
        <v>0</v>
      </c>
      <c r="BG298" s="3">
        <f>(((BE298-BF298)/1000)*0.000001)*M$7</f>
        <v>0</v>
      </c>
      <c r="BH298" s="126" t="s">
        <v>64</v>
      </c>
      <c r="BI298" s="126"/>
      <c r="BL298" s="126" t="s">
        <v>64</v>
      </c>
      <c r="BM298" s="126"/>
    </row>
    <row r="299" spans="6:65" s="123" customFormat="1" hidden="1">
      <c r="F299" s="126">
        <v>5</v>
      </c>
      <c r="G299" s="128" t="s">
        <v>154</v>
      </c>
      <c r="H299" s="128"/>
      <c r="I299" s="128">
        <f>IF(N260=1, 4.8691, IF(N260=2, 9.04, IF(N260=3, 9.36, IF(N260=4, 7.43, IF(N260=5, 4.61, IF(N260=6, 2.63, IF(N260=7, 0.507, IF(N260=8, 0.507,""))))))))</f>
        <v>4.8691000000000004</v>
      </c>
      <c r="J299" s="128" t="str">
        <f t="shared" si="117"/>
        <v/>
      </c>
      <c r="K299" s="128" t="str">
        <f t="shared" si="121"/>
        <v/>
      </c>
      <c r="L299" s="128">
        <v>251</v>
      </c>
      <c r="M299" s="3" t="b">
        <f>IF(K$295=F299,J$13*I299*56275)</f>
        <v>0</v>
      </c>
      <c r="N299" s="3" t="b">
        <f>IF(K$295=F299,J$14*I299*56275)</f>
        <v>0</v>
      </c>
      <c r="O299" s="3">
        <f>(((M299-N299)/1000)*0.000001)*J$7</f>
        <v>0</v>
      </c>
      <c r="P299" s="126" t="s">
        <v>64</v>
      </c>
      <c r="Q299" s="126"/>
      <c r="R299" s="126"/>
      <c r="S299" s="126"/>
      <c r="T299" s="126"/>
      <c r="V299" s="126">
        <v>5</v>
      </c>
      <c r="W299" s="128" t="s">
        <v>154</v>
      </c>
      <c r="X299" s="128"/>
      <c r="Y299" s="128">
        <f>IF(AD260=1, 4.8691, IF(AD260=2, 9.04, IF(AD260=3, 9.36, IF(AD260=4, 7.43, IF(AD260=5, 4.61, IF(AD260=6, 2.63, IF(AD260=7, 0.507, IF(AD260=8, 0.507,""))))))))</f>
        <v>4.8691000000000004</v>
      </c>
      <c r="Z299" s="128" t="str">
        <f t="shared" si="118"/>
        <v/>
      </c>
      <c r="AA299" s="128" t="str">
        <f t="shared" si="122"/>
        <v/>
      </c>
      <c r="AB299" s="128">
        <v>251</v>
      </c>
      <c r="AC299" s="3" t="b">
        <f>IF(AA$295=V299,K$13*Y299*56275)</f>
        <v>0</v>
      </c>
      <c r="AD299" s="3" t="b">
        <f>IF(AA$295=V299,K$14*Y299*56275)</f>
        <v>0</v>
      </c>
      <c r="AE299" s="3">
        <f>(((AC299-AD299)/1000)*0.000001)*K$7</f>
        <v>0</v>
      </c>
      <c r="AF299" s="126" t="s">
        <v>64</v>
      </c>
      <c r="AG299" s="126"/>
      <c r="AH299" s="126"/>
      <c r="AI299" s="126"/>
      <c r="AJ299" s="126">
        <v>5</v>
      </c>
      <c r="AK299" s="128" t="s">
        <v>154</v>
      </c>
      <c r="AL299" s="128"/>
      <c r="AM299" s="128">
        <f>IF(AR260=1, 4.8691, IF(AR260=2, 9.04, IF(AR260=3, 9.36, IF(AR260=4, 7.43, IF(AR260=5, 4.61, IF(AR260=6, 2.63, IF(AR260=7, 0.507, IF(AR260=8, 0.507,""))))))))</f>
        <v>4.8691000000000004</v>
      </c>
      <c r="AN299" s="128" t="str">
        <f t="shared" si="119"/>
        <v/>
      </c>
      <c r="AO299" s="128" t="str">
        <f t="shared" ref="AO299" si="124">IFERROR(SMALL(AN$295:AN$299,AJ299),"")</f>
        <v/>
      </c>
      <c r="AP299" s="128">
        <v>251</v>
      </c>
      <c r="AQ299" s="3" t="b">
        <f>IF(AO$295=AJ299,L$13*AM299*56275)</f>
        <v>0</v>
      </c>
      <c r="AR299" s="3" t="b">
        <f>IF(AO$295=AJ299,L$14*AM299*56275)</f>
        <v>0</v>
      </c>
      <c r="AS299" s="3">
        <f>(((AQ299-AR299)/1000)*0.000001)*L$7</f>
        <v>0</v>
      </c>
      <c r="AT299" s="126" t="s">
        <v>64</v>
      </c>
      <c r="AU299" s="126"/>
      <c r="AV299" s="126"/>
      <c r="AX299" s="126">
        <v>5</v>
      </c>
      <c r="AY299" s="128" t="s">
        <v>154</v>
      </c>
      <c r="AZ299" s="128"/>
      <c r="BA299" s="128">
        <f>IF(BF260=1, 4.8691, IF(BF260=2, 9.04, IF(BF260=3, 9.36, IF(BF260=4, 7.43, IF(BF260=5, 4.61, IF(BF260=6, 2.63, IF(BF260=7, 0.507, IF(BF260=8, 0.507,""))))))))</f>
        <v>4.8691000000000004</v>
      </c>
      <c r="BB299" s="128" t="str">
        <f t="shared" si="120"/>
        <v/>
      </c>
      <c r="BC299" s="128" t="str">
        <f t="shared" si="123"/>
        <v/>
      </c>
      <c r="BD299" s="128">
        <v>251</v>
      </c>
      <c r="BE299" s="3" t="b">
        <f>IF(BC$295=AX299,M$13*BA299*56275)</f>
        <v>0</v>
      </c>
      <c r="BF299" s="3" t="b">
        <f>IF(BC$295=AX299,M$14*BA299*56275)</f>
        <v>0</v>
      </c>
      <c r="BG299" s="3">
        <f>(((BE299-BF299)/1000)*0.000001)*M$7</f>
        <v>0</v>
      </c>
      <c r="BH299" s="126" t="s">
        <v>64</v>
      </c>
      <c r="BI299" s="126"/>
      <c r="BL299" s="126" t="s">
        <v>64</v>
      </c>
      <c r="BM299" s="126"/>
    </row>
    <row r="300" spans="6:65" hidden="1">
      <c r="F300" s="2"/>
      <c r="G300" s="2"/>
      <c r="H300" s="2"/>
      <c r="I300" s="2"/>
      <c r="J300" s="2"/>
      <c r="K300" s="2"/>
      <c r="L300" s="2"/>
      <c r="M300" s="2"/>
      <c r="N300" s="2"/>
      <c r="O300" s="2"/>
      <c r="P300" s="2"/>
      <c r="Q300" s="2"/>
      <c r="R300" s="2"/>
      <c r="S300" s="2"/>
      <c r="T300" s="2"/>
      <c r="V300" s="2"/>
      <c r="W300" s="2"/>
      <c r="X300" s="2"/>
      <c r="Y300" s="2"/>
      <c r="Z300" s="2"/>
      <c r="AA300" s="2"/>
      <c r="AB300" s="2"/>
      <c r="AC300" s="2"/>
      <c r="AD300" s="2"/>
      <c r="AE300" s="2"/>
      <c r="AF300" s="2"/>
      <c r="AG300" s="2"/>
      <c r="AH300" s="2"/>
      <c r="AI300" s="2"/>
      <c r="AJ300" s="2"/>
      <c r="AK300" s="2"/>
      <c r="AL300" s="2"/>
      <c r="AM300" s="2"/>
      <c r="AN300" s="2"/>
      <c r="AO300" s="2"/>
      <c r="AP300" s="2"/>
      <c r="AQ300" s="2"/>
      <c r="AR300" s="2"/>
      <c r="AS300" s="2"/>
      <c r="AT300" s="2"/>
      <c r="AU300" s="2"/>
      <c r="AV300" s="2"/>
      <c r="AX300" s="2"/>
      <c r="AY300" s="2"/>
      <c r="AZ300" s="2"/>
      <c r="BA300" s="2"/>
      <c r="BB300" s="2"/>
      <c r="BC300" s="2"/>
      <c r="BD300" s="2"/>
      <c r="BE300" s="2"/>
      <c r="BF300" s="2"/>
      <c r="BG300" s="2"/>
      <c r="BH300" s="2"/>
      <c r="BI300" s="2"/>
      <c r="BL300" s="2"/>
      <c r="BM300" s="2"/>
    </row>
    <row r="301" spans="6:65" hidden="1">
      <c r="F301" s="2"/>
      <c r="G301" s="2"/>
      <c r="H301" s="2"/>
      <c r="I301" s="2"/>
      <c r="J301" s="2"/>
      <c r="K301" s="2"/>
      <c r="L301" s="2"/>
      <c r="M301" s="2"/>
      <c r="N301" s="2"/>
      <c r="O301" s="2"/>
      <c r="P301" s="2"/>
      <c r="Q301" s="2"/>
      <c r="R301" s="2"/>
      <c r="S301" s="2"/>
      <c r="T301" s="2"/>
      <c r="V301" s="2"/>
      <c r="W301" s="2"/>
      <c r="X301" s="2"/>
      <c r="Y301" s="2"/>
      <c r="Z301" s="2"/>
      <c r="AA301" s="2"/>
      <c r="AB301" s="2"/>
      <c r="AC301" s="2"/>
      <c r="AD301" s="2"/>
      <c r="AE301" s="2"/>
      <c r="AF301" s="2"/>
      <c r="AG301" s="2"/>
      <c r="AH301" s="2"/>
      <c r="AI301" s="2"/>
      <c r="AJ301" s="2"/>
      <c r="AK301" s="2"/>
      <c r="AL301" s="2"/>
      <c r="AM301" s="2"/>
      <c r="AN301" s="2"/>
      <c r="AO301" s="2"/>
      <c r="AP301" s="2"/>
      <c r="AQ301" s="2"/>
      <c r="AR301" s="2"/>
      <c r="AS301" s="2"/>
      <c r="AT301" s="2"/>
      <c r="AU301" s="2"/>
      <c r="AV301" s="2"/>
      <c r="AX301" s="2"/>
      <c r="AY301" s="2"/>
      <c r="AZ301" s="2"/>
      <c r="BA301" s="2"/>
      <c r="BB301" s="2"/>
      <c r="BC301" s="2"/>
      <c r="BD301" s="2"/>
      <c r="BE301" s="2"/>
      <c r="BF301" s="2"/>
      <c r="BG301" s="2"/>
      <c r="BH301" s="2"/>
      <c r="BI301" s="2"/>
      <c r="BL301" s="2"/>
      <c r="BM301" s="2"/>
    </row>
    <row r="302" spans="6:65" hidden="1">
      <c r="F302" s="2"/>
      <c r="G302" s="2"/>
      <c r="H302" s="2"/>
      <c r="I302" s="12" t="s">
        <v>57</v>
      </c>
      <c r="J302" s="2" t="s">
        <v>58</v>
      </c>
      <c r="K302" s="2" t="s">
        <v>58</v>
      </c>
      <c r="L302" s="12" t="s">
        <v>59</v>
      </c>
      <c r="M302" s="2" t="s">
        <v>60</v>
      </c>
      <c r="N302" s="2" t="s">
        <v>61</v>
      </c>
      <c r="O302" s="2" t="s">
        <v>62</v>
      </c>
      <c r="P302" s="2"/>
      <c r="Q302" s="2"/>
      <c r="R302" s="2"/>
      <c r="S302" s="2"/>
      <c r="T302" s="2"/>
      <c r="V302" s="2"/>
      <c r="W302" s="2"/>
      <c r="X302" s="2"/>
      <c r="Y302" s="12" t="s">
        <v>57</v>
      </c>
      <c r="Z302" s="2" t="s">
        <v>58</v>
      </c>
      <c r="AA302" s="2" t="s">
        <v>58</v>
      </c>
      <c r="AB302" s="12" t="s">
        <v>59</v>
      </c>
      <c r="AC302" s="2" t="s">
        <v>60</v>
      </c>
      <c r="AD302" s="2" t="s">
        <v>61</v>
      </c>
      <c r="AE302" s="2" t="s">
        <v>62</v>
      </c>
      <c r="AF302" s="2"/>
      <c r="AG302" s="2"/>
      <c r="AH302" s="2"/>
      <c r="AI302" s="2"/>
      <c r="AJ302" s="2"/>
      <c r="AK302" s="2"/>
      <c r="AL302" s="2"/>
      <c r="AM302" s="12" t="s">
        <v>57</v>
      </c>
      <c r="AN302" s="2" t="s">
        <v>58</v>
      </c>
      <c r="AO302" s="2" t="s">
        <v>58</v>
      </c>
      <c r="AP302" s="12" t="s">
        <v>59</v>
      </c>
      <c r="AQ302" s="2" t="s">
        <v>60</v>
      </c>
      <c r="AR302" s="2" t="s">
        <v>61</v>
      </c>
      <c r="AS302" s="2" t="s">
        <v>62</v>
      </c>
      <c r="AT302" s="2"/>
      <c r="AU302" s="2"/>
      <c r="AV302" s="2"/>
      <c r="AX302" s="2"/>
      <c r="AY302" s="2"/>
      <c r="AZ302" s="2"/>
      <c r="BA302" s="12" t="s">
        <v>57</v>
      </c>
      <c r="BB302" s="2" t="s">
        <v>58</v>
      </c>
      <c r="BC302" s="2" t="s">
        <v>58</v>
      </c>
      <c r="BD302" s="12" t="s">
        <v>59</v>
      </c>
      <c r="BE302" s="2" t="s">
        <v>60</v>
      </c>
      <c r="BF302" s="2" t="s">
        <v>61</v>
      </c>
      <c r="BG302" s="2" t="s">
        <v>62</v>
      </c>
      <c r="BH302" s="2"/>
      <c r="BI302" s="2"/>
      <c r="BL302" s="2"/>
      <c r="BM302" s="2"/>
    </row>
    <row r="303" spans="6:65" hidden="1">
      <c r="F303" s="2">
        <v>1</v>
      </c>
      <c r="G303" s="3" t="s">
        <v>83</v>
      </c>
      <c r="H303" s="3"/>
      <c r="I303" s="3" t="str">
        <f>IF(I250=1,0.0019,"")</f>
        <v/>
      </c>
      <c r="J303" s="3" t="str">
        <f>IF((J$9=G303),F303,"")</f>
        <v/>
      </c>
      <c r="K303" s="3" t="str">
        <f>IFERROR(SMALL(J$303:J$307,F303),"")</f>
        <v/>
      </c>
      <c r="L303" s="3">
        <v>177</v>
      </c>
      <c r="M303" s="3" t="b">
        <f>IF(K$303=F303,J$13*I303*4281)</f>
        <v>0</v>
      </c>
      <c r="N303" s="3" t="b">
        <f>IF(K$303=F303,J$14*I303*4281)</f>
        <v>0</v>
      </c>
      <c r="O303" s="3">
        <f>(((M303-N303)/1000)*0.000001)*J$7</f>
        <v>0</v>
      </c>
      <c r="P303" s="2" t="s">
        <v>64</v>
      </c>
      <c r="Q303" s="2"/>
      <c r="R303" s="2"/>
      <c r="S303" s="2"/>
      <c r="T303" s="2"/>
      <c r="V303" s="2">
        <v>1</v>
      </c>
      <c r="W303" s="3" t="s">
        <v>83</v>
      </c>
      <c r="X303" s="3"/>
      <c r="Y303" s="3" t="str">
        <f>IF(Y250=1,0.0019,"")</f>
        <v/>
      </c>
      <c r="Z303" s="3" t="str">
        <f>IF((K$9=W303),V303,"")</f>
        <v/>
      </c>
      <c r="AA303" s="3" t="str">
        <f>IFERROR(SMALL(Z$303:Z$307,V303),"")</f>
        <v/>
      </c>
      <c r="AB303" s="3">
        <v>177</v>
      </c>
      <c r="AC303" s="3" t="b">
        <f>IF(AA$303=V303,K$13*Y303*4281)</f>
        <v>0</v>
      </c>
      <c r="AD303" s="3" t="b">
        <f>IF(AA$303=V303,K$14*Y303*4281)</f>
        <v>0</v>
      </c>
      <c r="AE303" s="3">
        <f>(((AC303-AD303)/1000)*0.000001)*K$7</f>
        <v>0</v>
      </c>
      <c r="AF303" s="2" t="s">
        <v>64</v>
      </c>
      <c r="AG303" s="2"/>
      <c r="AH303" s="2"/>
      <c r="AI303" s="2"/>
      <c r="AJ303" s="2">
        <v>1</v>
      </c>
      <c r="AK303" s="3" t="s">
        <v>83</v>
      </c>
      <c r="AL303" s="3"/>
      <c r="AM303" s="3" t="str">
        <f>IF(AM250=1,0.0019,"")</f>
        <v/>
      </c>
      <c r="AN303" s="3" t="str">
        <f>IF((L$9=AK303),AJ303,"")</f>
        <v/>
      </c>
      <c r="AO303" s="3" t="str">
        <f>IFERROR(SMALL(AN$303:AN$307,AJ303),"")</f>
        <v/>
      </c>
      <c r="AP303" s="3">
        <v>177</v>
      </c>
      <c r="AQ303" s="3" t="b">
        <f>IF(AO$303=AJ303,L$13*AM303*4281)</f>
        <v>0</v>
      </c>
      <c r="AR303" s="3" t="b">
        <f>IF(AO$303=AJ303,L$14*AM303*4281)</f>
        <v>0</v>
      </c>
      <c r="AS303" s="3">
        <f>(((AQ303-AR303)/1000)*0.000001)*L$7</f>
        <v>0</v>
      </c>
      <c r="AT303" s="2" t="s">
        <v>64</v>
      </c>
      <c r="AU303" s="2"/>
      <c r="AV303" s="2"/>
      <c r="AX303" s="2">
        <v>1</v>
      </c>
      <c r="AY303" s="3" t="s">
        <v>83</v>
      </c>
      <c r="AZ303" s="3"/>
      <c r="BA303" s="3" t="str">
        <f>IF(BA250=1,0.0019,"")</f>
        <v/>
      </c>
      <c r="BB303" s="3" t="str">
        <f>IF((M$9=AY303),AX303,"")</f>
        <v/>
      </c>
      <c r="BC303" s="3" t="str">
        <f>IFERROR(SMALL(BB$303:BB$307,AX303),"")</f>
        <v/>
      </c>
      <c r="BD303" s="3">
        <v>177</v>
      </c>
      <c r="BE303" s="3" t="b">
        <f>IF(BC$303=AX303,M$13*BA303*4281)</f>
        <v>0</v>
      </c>
      <c r="BF303" s="3" t="b">
        <f>IF(BC$303=AX303,M$14*BA303*4281)</f>
        <v>0</v>
      </c>
      <c r="BG303" s="3">
        <f>(((BE303-BF303)/1000)*0.000001)*M$7</f>
        <v>0</v>
      </c>
      <c r="BH303" s="2" t="s">
        <v>64</v>
      </c>
      <c r="BI303" s="2"/>
      <c r="BL303" s="2" t="s">
        <v>64</v>
      </c>
      <c r="BM303" s="2"/>
    </row>
    <row r="304" spans="6:65" hidden="1">
      <c r="F304" s="2">
        <v>2</v>
      </c>
      <c r="G304" s="3" t="s">
        <v>151</v>
      </c>
      <c r="H304" s="3"/>
      <c r="I304" s="3" t="str">
        <f>IF(N250=1,0.0058, IF(N250=2, 0.0029, IF(N250=3, 0.0029, IF(N250=4, 0.0029, IF(N250=5, 0.0029, IF(N250=6, 0.011, IF(N250=7, 0.009, IF(N250=8, 0.009,""))))))))</f>
        <v/>
      </c>
      <c r="J304" s="3" t="str">
        <f>IF((J$9=G304),F304,"")</f>
        <v/>
      </c>
      <c r="K304" s="3" t="str">
        <f>IFERROR(SMALL(J$303:J$307,F304),"")</f>
        <v/>
      </c>
      <c r="L304" s="3">
        <v>101</v>
      </c>
      <c r="M304" s="3" t="b">
        <f>IF(K$303=F304,J$13*I304*23713)</f>
        <v>0</v>
      </c>
      <c r="N304" s="3" t="b">
        <f>IF(K$303=F304,J$14*I304*23713)</f>
        <v>0</v>
      </c>
      <c r="O304" s="3">
        <f>(((M304-N304)/1000)*0.000001)*J$7</f>
        <v>0</v>
      </c>
      <c r="P304" s="2" t="s">
        <v>64</v>
      </c>
      <c r="Q304" s="2"/>
      <c r="R304" s="2"/>
      <c r="S304" s="2"/>
      <c r="T304" s="2"/>
      <c r="V304" s="2">
        <v>2</v>
      </c>
      <c r="W304" s="3" t="s">
        <v>151</v>
      </c>
      <c r="X304" s="3"/>
      <c r="Y304" s="3" t="str">
        <f>IF(AD250=1,0.0058, IF(AD250=2, 0.0029, IF(AD250=3, 0.0029, IF(AD250=4, 0.0029, IF(AD250=5, 0.0029, IF(AD250=6, 0.011, IF(AD250=7, 0.009, IF(AD250=8, 0.009,""))))))))</f>
        <v/>
      </c>
      <c r="Z304" s="3" t="str">
        <f>IF((K$9=W304),V304,"")</f>
        <v/>
      </c>
      <c r="AA304" s="3" t="str">
        <f>IFERROR(SMALL(Z$303:Z$307,V304),"")</f>
        <v/>
      </c>
      <c r="AB304" s="3">
        <v>101</v>
      </c>
      <c r="AC304" s="3" t="b">
        <f>IF(AA$303=V304,K$13*Y304*23713)</f>
        <v>0</v>
      </c>
      <c r="AD304" s="3" t="b">
        <f>IF(AA$303=V304,K$14*Y304*23713)</f>
        <v>0</v>
      </c>
      <c r="AE304" s="3">
        <f>(((AC304-AD304)/1000)*0.000001)*K$7</f>
        <v>0</v>
      </c>
      <c r="AF304" s="2" t="s">
        <v>64</v>
      </c>
      <c r="AG304" s="2"/>
      <c r="AH304" s="2"/>
      <c r="AI304" s="2"/>
      <c r="AJ304" s="2">
        <v>2</v>
      </c>
      <c r="AK304" s="3" t="s">
        <v>151</v>
      </c>
      <c r="AL304" s="3"/>
      <c r="AM304" s="3" t="str">
        <f>IF(AR250=1,0.0058, IF(AR250=2, 0.0029, IF(AR250=3, 0.0029, IF(AR250=4, 0.0029, IF(AR250=5, 0.0029, IF(AR250=6, 0.011, IF(AR250=7, 0.009, IF(AR250=8, 0.009,""))))))))</f>
        <v/>
      </c>
      <c r="AN304" s="3" t="str">
        <f>IF((L$9=AK304),AJ304,"")</f>
        <v/>
      </c>
      <c r="AO304" s="3" t="str">
        <f>IFERROR(SMALL(AN$303:AN$307,AJ304),"")</f>
        <v/>
      </c>
      <c r="AP304" s="3">
        <v>101</v>
      </c>
      <c r="AQ304" s="3" t="b">
        <f>IF(AO$303=AJ304,L$13*AM304*23713)</f>
        <v>0</v>
      </c>
      <c r="AR304" s="3" t="b">
        <f>IF(AO$303=AJ304,L$14*AM304*23713)</f>
        <v>0</v>
      </c>
      <c r="AS304" s="3">
        <f>(((AQ304-AR304)/1000)*0.000001)*L$7</f>
        <v>0</v>
      </c>
      <c r="AT304" s="2" t="s">
        <v>64</v>
      </c>
      <c r="AU304" s="2"/>
      <c r="AV304" s="2"/>
      <c r="AX304" s="2">
        <v>2</v>
      </c>
      <c r="AY304" s="3" t="s">
        <v>151</v>
      </c>
      <c r="AZ304" s="3"/>
      <c r="BA304" s="3" t="str">
        <f>IF(BF250=1,0.0058, IF(BF250=2, 0.0029, IF(BF250=3, 0.0029, IF(BF250=4, 0.0029, IF(BF250=5, 0.0029, IF(BF250=6, 0.011, IF(BF250=7, 0.009, IF(BF250=8, 0.009,""))))))))</f>
        <v/>
      </c>
      <c r="BB304" s="3" t="str">
        <f t="shared" ref="BB304:BB307" si="125">IF((M$9=AY304),AX304,"")</f>
        <v/>
      </c>
      <c r="BC304" s="3" t="str">
        <f>IFERROR(SMALL(BB$303:BB$307,AX304),"")</f>
        <v/>
      </c>
      <c r="BD304" s="3">
        <v>101</v>
      </c>
      <c r="BE304" s="3" t="b">
        <f>IF(BC$303=AX304,M$13*BA304*23713)</f>
        <v>0</v>
      </c>
      <c r="BF304" s="3" t="b">
        <f>IF(BC$303=AX304,M$14*BA304*23713)</f>
        <v>0</v>
      </c>
      <c r="BG304" s="3">
        <f>(((BE304-BF304)/1000)*0.000001)*M$7</f>
        <v>0</v>
      </c>
      <c r="BH304" s="2" t="s">
        <v>64</v>
      </c>
      <c r="BI304" s="2"/>
      <c r="BL304" s="2" t="s">
        <v>64</v>
      </c>
      <c r="BM304" s="2"/>
    </row>
    <row r="305" spans="6:65" hidden="1">
      <c r="F305" s="2">
        <v>3</v>
      </c>
      <c r="G305" s="3" t="s">
        <v>152</v>
      </c>
      <c r="H305" s="3"/>
      <c r="I305" s="3" t="str">
        <f>IF(N250=1,0.0058,IF(N250=2, 0.0029, IF(N250=3,0.0029, IF(N250=4,0.0029, IF(N250=5, 0.0029, IF(N250=6, 0.011, IF(N250=7, 0.009, IF(N250=8, 0.009,""))))))))</f>
        <v/>
      </c>
      <c r="J305" s="3" t="str">
        <f>IF((J$9=G305),F305,"")</f>
        <v/>
      </c>
      <c r="K305" s="3" t="str">
        <f>IFERROR(SMALL(J$303:J$307,F305),"")</f>
        <v/>
      </c>
      <c r="L305" s="3">
        <v>155</v>
      </c>
      <c r="M305" s="3" t="b">
        <f>IF(K$303=F305,J$13*I305*39994)</f>
        <v>0</v>
      </c>
      <c r="N305" s="3" t="b">
        <f>IF(K$303=F305,J$14*I305*39994)</f>
        <v>0</v>
      </c>
      <c r="O305" s="3">
        <f>(((M305-N305)/1000)*0.000001)*J$7</f>
        <v>0</v>
      </c>
      <c r="P305" s="2" t="s">
        <v>64</v>
      </c>
      <c r="Q305" s="2"/>
      <c r="R305" s="2"/>
      <c r="S305" s="2"/>
      <c r="T305" s="2"/>
      <c r="V305" s="2">
        <v>3</v>
      </c>
      <c r="W305" s="3" t="s">
        <v>152</v>
      </c>
      <c r="X305" s="3"/>
      <c r="Y305" s="3" t="str">
        <f>IF(AD250=1,0.0058,IF(AD250=2, 0.0029, IF(AD250=3,0.0029, IF(AD250=4,0.0029, IF(AD250=5, 0.0029, IF(AD250=6, 0.011, IF(AD250=7, 0.009, IF(AD250=8, 0.009,""))))))))</f>
        <v/>
      </c>
      <c r="Z305" s="3" t="str">
        <f>IF((K$9=W305),V305,"")</f>
        <v/>
      </c>
      <c r="AA305" s="3" t="str">
        <f>IFERROR(SMALL(Z$303:Z$307,V305),"")</f>
        <v/>
      </c>
      <c r="AB305" s="3">
        <v>155</v>
      </c>
      <c r="AC305" s="3" t="b">
        <f>IF(AA$303=V305,K$13*Y305*39994)</f>
        <v>0</v>
      </c>
      <c r="AD305" s="3" t="b">
        <f>IF(AA$303=V305,K$14*Y305*39994)</f>
        <v>0</v>
      </c>
      <c r="AE305" s="3">
        <f>(((AC305-AD305)/1000)*0.000001)*K$7</f>
        <v>0</v>
      </c>
      <c r="AF305" s="2" t="s">
        <v>64</v>
      </c>
      <c r="AG305" s="2"/>
      <c r="AH305" s="2"/>
      <c r="AI305" s="2"/>
      <c r="AJ305" s="2">
        <v>3</v>
      </c>
      <c r="AK305" s="3" t="s">
        <v>152</v>
      </c>
      <c r="AL305" s="3"/>
      <c r="AM305" s="3" t="str">
        <f>IF(AR250=1,0.0058,IF(AR250=2, 0.0029, IF(AR250=3,0.0029, IF(AR250=4,0.0029, IF(AR250=5, 0.0029, IF(AR250=6, 0.011, IF(AR250=7, 0.009, IF(AR250=8, 0.009,""))))))))</f>
        <v/>
      </c>
      <c r="AN305" s="3" t="str">
        <f>IF((L$9=AK305),AJ305,"")</f>
        <v/>
      </c>
      <c r="AO305" s="3" t="str">
        <f>IFERROR(SMALL(AN$303:AN$307,AJ305),"")</f>
        <v/>
      </c>
      <c r="AP305" s="3">
        <v>155</v>
      </c>
      <c r="AQ305" s="3" t="b">
        <f>IF(AO$303=AJ305,L$13*AM305*39994)</f>
        <v>0</v>
      </c>
      <c r="AR305" s="3" t="b">
        <f>IF(AO$303=AJ305,L$14*AM305*39994)</f>
        <v>0</v>
      </c>
      <c r="AS305" s="3">
        <f>(((AQ305-AR305)/1000)*0.000001)*L$7</f>
        <v>0</v>
      </c>
      <c r="AT305" s="2" t="s">
        <v>64</v>
      </c>
      <c r="AU305" s="2"/>
      <c r="AV305" s="2"/>
      <c r="AX305" s="2">
        <v>3</v>
      </c>
      <c r="AY305" s="3" t="s">
        <v>152</v>
      </c>
      <c r="AZ305" s="3"/>
      <c r="BA305" s="3" t="str">
        <f>IF(BF250=1,0.0058,IF(BF250=2, 0.0029, IF(BF250=3,0.0029, IF(BF250=4,0.0029, IF(BF250=5, 0.0029, IF(BF250=6, 0.011, IF(BF250=7, 0.009, IF(BF250=8, 0.009,""))))))))</f>
        <v/>
      </c>
      <c r="BB305" s="3" t="str">
        <f t="shared" si="125"/>
        <v/>
      </c>
      <c r="BC305" s="3" t="str">
        <f>IFERROR(SMALL(BB$303:BB$307,AX305),"")</f>
        <v/>
      </c>
      <c r="BD305" s="3">
        <v>155</v>
      </c>
      <c r="BE305" s="3" t="b">
        <f>IF(BC$303=AX305,M$13*BA305*39994)</f>
        <v>0</v>
      </c>
      <c r="BF305" s="3" t="b">
        <f>IF(BC$303=AX305,M$14*BA305*39994)</f>
        <v>0</v>
      </c>
      <c r="BG305" s="3">
        <f>(((BE305-BF305)/1000)*0.000001)*M$7</f>
        <v>0</v>
      </c>
      <c r="BH305" s="2" t="s">
        <v>64</v>
      </c>
      <c r="BI305" s="2"/>
      <c r="BL305" s="2" t="s">
        <v>64</v>
      </c>
      <c r="BM305" s="2"/>
    </row>
    <row r="306" spans="6:65" hidden="1">
      <c r="F306" s="2">
        <v>4</v>
      </c>
      <c r="G306" s="3" t="s">
        <v>153</v>
      </c>
      <c r="H306" s="3"/>
      <c r="I306" s="3" t="str">
        <f>IF(N250=1,0.0058, IF(N250=2, 0.0029, IF(N250=3, 0.0029, IF(N250=4,0.0029, IF(N250=5, 0.0029, IF(N250=6, 0.011, IF(N250=7, 0.009, IF(N250=8, 0.009,""))))))))</f>
        <v/>
      </c>
      <c r="J306" s="3" t="str">
        <f>IF((J$9=G306),F306,"")</f>
        <v/>
      </c>
      <c r="K306" s="3" t="str">
        <f>IFERROR(SMALL(J$303:J$307,F306),"")</f>
        <v/>
      </c>
      <c r="L306" s="3">
        <v>210</v>
      </c>
      <c r="M306" s="3" t="b">
        <f>IF(K$303=F306,J$13*I306*56275)</f>
        <v>0</v>
      </c>
      <c r="N306" s="3" t="b">
        <f>IF(K$303=F306,J$14*I306*56275)</f>
        <v>0</v>
      </c>
      <c r="O306" s="3">
        <f>(((M306-N306)/1000)*0.000001)*J$7</f>
        <v>0</v>
      </c>
      <c r="P306" s="2" t="s">
        <v>64</v>
      </c>
      <c r="Q306" s="2"/>
      <c r="R306" s="2"/>
      <c r="S306" s="2"/>
      <c r="T306" s="2"/>
      <c r="V306" s="2">
        <v>4</v>
      </c>
      <c r="W306" s="3" t="s">
        <v>153</v>
      </c>
      <c r="X306" s="3"/>
      <c r="Y306" s="3" t="str">
        <f>IF(AD250=1,0.0058, IF(AD250=2, 0.0029, IF(AD250=3, 0.0029, IF(AD250=4,0.0029, IF(AD250=5, 0.0029, IF(AD250=6, 0.011, IF(AD250=7, 0.009, IF(AD250=8, 0.009,""))))))))</f>
        <v/>
      </c>
      <c r="Z306" s="3" t="str">
        <f>IF((K$9=W306),V306,"")</f>
        <v/>
      </c>
      <c r="AA306" s="3" t="str">
        <f>IFERROR(SMALL(Z$303:Z$307,V306),"")</f>
        <v/>
      </c>
      <c r="AB306" s="3">
        <v>210</v>
      </c>
      <c r="AC306" s="3" t="b">
        <f>IF(AA$303=V306,K$13*Y306*56275)</f>
        <v>0</v>
      </c>
      <c r="AD306" s="3" t="b">
        <f>IF(AA$303=V306,K$14*Y306*56275)</f>
        <v>0</v>
      </c>
      <c r="AE306" s="3">
        <f>(((AC306-AD306)/1000)*0.000001)*K$7</f>
        <v>0</v>
      </c>
      <c r="AF306" s="2" t="s">
        <v>64</v>
      </c>
      <c r="AG306" s="2"/>
      <c r="AH306" s="2"/>
      <c r="AI306" s="2"/>
      <c r="AJ306" s="2">
        <v>4</v>
      </c>
      <c r="AK306" s="3" t="s">
        <v>153</v>
      </c>
      <c r="AL306" s="3"/>
      <c r="AM306" s="3" t="str">
        <f>IF(AR250=1,0.0058, IF(AR250=2, 0.0029, IF(AR250=3, 0.0029, IF(AR250=4,0.0029, IF(AR250=5, 0.0029, IF(AR250=6, 0.011, IF(AR250=7, 0.009, IF(AR250=8, 0.009,""))))))))</f>
        <v/>
      </c>
      <c r="AN306" s="3" t="str">
        <f>IF((L$9=AK306),AJ306,"")</f>
        <v/>
      </c>
      <c r="AO306" s="3" t="str">
        <f>IFERROR(SMALL(AN$303:AN$307,AJ306),"")</f>
        <v/>
      </c>
      <c r="AP306" s="3">
        <v>210</v>
      </c>
      <c r="AQ306" s="3" t="b">
        <f>IF(AO$303=AJ306,L$13*AM306*56275)</f>
        <v>0</v>
      </c>
      <c r="AR306" s="3" t="b">
        <f>IF(AO$303=AJ306,L$14*AM306*56275)</f>
        <v>0</v>
      </c>
      <c r="AS306" s="3">
        <f>(((AQ306-AR306)/1000)*0.000001)*L$7</f>
        <v>0</v>
      </c>
      <c r="AT306" s="2" t="s">
        <v>64</v>
      </c>
      <c r="AU306" s="2"/>
      <c r="AV306" s="2"/>
      <c r="AX306" s="2">
        <v>4</v>
      </c>
      <c r="AY306" s="3" t="s">
        <v>153</v>
      </c>
      <c r="AZ306" s="3"/>
      <c r="BA306" s="3" t="str">
        <f>IF(BF250=1,0.0058, IF(BF250=2, 0.0029, IF(BF250=3, 0.0029, IF(BF250=4,0.0029, IF(BF250=5, 0.0029, IF(BF250=6, 0.011, IF(BF250=7, 0.009, IF(BF250=8, 0.009,""))))))))</f>
        <v/>
      </c>
      <c r="BB306" s="3" t="str">
        <f t="shared" si="125"/>
        <v/>
      </c>
      <c r="BC306" s="3" t="str">
        <f>IFERROR(SMALL(BB$303:BB$307,AX306),"")</f>
        <v/>
      </c>
      <c r="BD306" s="3">
        <v>210</v>
      </c>
      <c r="BE306" s="3" t="b">
        <f>IF(BC$303=AX306,M$13*BA306*56275)</f>
        <v>0</v>
      </c>
      <c r="BF306" s="3" t="b">
        <f>IF(BC$303=AX306,M$14*BA306*56275)</f>
        <v>0</v>
      </c>
      <c r="BG306" s="3">
        <f>(((BE306-BF306)/1000)*0.000001)*M$7</f>
        <v>0</v>
      </c>
      <c r="BH306" s="2" t="s">
        <v>64</v>
      </c>
      <c r="BI306" s="2"/>
      <c r="BL306" s="2" t="s">
        <v>64</v>
      </c>
      <c r="BM306" s="2"/>
    </row>
    <row r="307" spans="6:65" hidden="1">
      <c r="F307" s="2">
        <v>5</v>
      </c>
      <c r="G307" s="3" t="s">
        <v>154</v>
      </c>
      <c r="H307" s="3"/>
      <c r="I307" s="3" t="str">
        <f>IF(N250=1,0.0058, IF(N250=2, 0.0029, IF(N250=3, 0.0029, IF(N250=4, 0.0029, IF(N250=5, 0.0029, IF(N250=6, 0.011, IF(N250=7, 0.009, IF(N250=8, 0.009,""))))))))</f>
        <v/>
      </c>
      <c r="J307" s="3" t="str">
        <f>IF((J$9=G307),F307,"")</f>
        <v/>
      </c>
      <c r="K307" s="3" t="str">
        <f>IFERROR(SMALL(J$303:J$307,F307),"")</f>
        <v/>
      </c>
      <c r="L307" s="3">
        <v>251</v>
      </c>
      <c r="M307" s="3" t="b">
        <f>IF(K$303=F307,J$13*I307*56275)</f>
        <v>0</v>
      </c>
      <c r="N307" s="3" t="b">
        <f>IF(K$303=F307,J$14*I307*56275)</f>
        <v>0</v>
      </c>
      <c r="O307" s="3">
        <f>(((M307-N307)/1000)*0.000001)*J$7</f>
        <v>0</v>
      </c>
      <c r="P307" s="2" t="s">
        <v>64</v>
      </c>
      <c r="Q307" s="2"/>
      <c r="R307" s="2"/>
      <c r="S307" s="2"/>
      <c r="T307" s="2"/>
      <c r="V307" s="2">
        <v>5</v>
      </c>
      <c r="W307" s="3" t="s">
        <v>154</v>
      </c>
      <c r="X307" s="3"/>
      <c r="Y307" s="3" t="str">
        <f>IF(AD250=1,0.0058, IF(AD250=2, 0.0029, IF(AD250=3, 0.0029, IF(AD250=4, 0.0029, IF(AD250=5, 0.0029, IF(AD250=6, 0.011, IF(AD250=7, 0.009, IF(AD250=8, 0.009,""))))))))</f>
        <v/>
      </c>
      <c r="Z307" s="3" t="str">
        <f>IF((K$9=W307),V307,"")</f>
        <v/>
      </c>
      <c r="AA307" s="3" t="str">
        <f>IFERROR(SMALL(Z$303:Z$307,V307),"")</f>
        <v/>
      </c>
      <c r="AB307" s="3">
        <v>251</v>
      </c>
      <c r="AC307" s="3" t="b">
        <f>IF(AA$303=V307,K$13*Y307*56275)</f>
        <v>0</v>
      </c>
      <c r="AD307" s="3" t="b">
        <f>IF(AA$303=V307,K$14*Y307*56275)</f>
        <v>0</v>
      </c>
      <c r="AE307" s="3">
        <f>(((AC307-AD307)/1000)*0.000001)*K$7</f>
        <v>0</v>
      </c>
      <c r="AF307" s="2" t="s">
        <v>64</v>
      </c>
      <c r="AG307" s="2"/>
      <c r="AH307" s="2"/>
      <c r="AI307" s="2"/>
      <c r="AJ307" s="2">
        <v>5</v>
      </c>
      <c r="AK307" s="3" t="s">
        <v>154</v>
      </c>
      <c r="AL307" s="3"/>
      <c r="AM307" s="3" t="str">
        <f>IF(AR250=1,0.0058, IF(AR250=2, 0.0029, IF(AR250=3, 0.0029, IF(AR250=4, 0.0029, IF(AR250=5, 0.0029, IF(AR250=6, 0.011, IF(AR250=7, 0.009, IF(AR250=8, 0.009,""))))))))</f>
        <v/>
      </c>
      <c r="AN307" s="3" t="str">
        <f>IF((L$9=AK307),AJ307,"")</f>
        <v/>
      </c>
      <c r="AO307" s="3" t="str">
        <f>IFERROR(SMALL(AN$303:AN$307,AJ307),"")</f>
        <v/>
      </c>
      <c r="AP307" s="3">
        <v>251</v>
      </c>
      <c r="AQ307" s="3" t="b">
        <f>IF(AO$303=AJ307,L$13*AM307*56275)</f>
        <v>0</v>
      </c>
      <c r="AR307" s="3" t="b">
        <f>IF(AO$303=AJ307,L$14*AM307*56275)</f>
        <v>0</v>
      </c>
      <c r="AS307" s="3">
        <f>(((AQ307-AR307)/1000)*0.000001)*L$7</f>
        <v>0</v>
      </c>
      <c r="AT307" s="2" t="s">
        <v>64</v>
      </c>
      <c r="AU307" s="2"/>
      <c r="AV307" s="2"/>
      <c r="AX307" s="2">
        <v>5</v>
      </c>
      <c r="AY307" s="3" t="s">
        <v>154</v>
      </c>
      <c r="AZ307" s="3"/>
      <c r="BA307" s="3" t="str">
        <f>IF(BF250=1,0.0058, IF(BF250=2, 0.0029, IF(BF250=3, 0.0029, IF(BF250=4, 0.0029, IF(BF250=5, 0.0029, IF(BF250=6, 0.011, IF(BF250=7, 0.009, IF(BF250=8, 0.009,""))))))))</f>
        <v/>
      </c>
      <c r="BB307" s="3" t="str">
        <f t="shared" si="125"/>
        <v/>
      </c>
      <c r="BC307" s="3" t="str">
        <f>IFERROR(SMALL(BB$303:BB$307,AX307),"")</f>
        <v/>
      </c>
      <c r="BD307" s="3">
        <v>251</v>
      </c>
      <c r="BE307" s="3" t="b">
        <f>IF(BC$303=AX307,M$13*BA307*56275)</f>
        <v>0</v>
      </c>
      <c r="BF307" s="3" t="b">
        <f>IF(BC$303=AX307,M$14*BA307*56275)</f>
        <v>0</v>
      </c>
      <c r="BG307" s="3">
        <f>(((BE307-BF307)/1000)*0.000001)*M$7</f>
        <v>0</v>
      </c>
      <c r="BH307" s="2" t="s">
        <v>64</v>
      </c>
      <c r="BI307" s="2"/>
      <c r="BL307" s="2" t="s">
        <v>64</v>
      </c>
      <c r="BM307" s="2"/>
    </row>
    <row r="308" spans="6:65" hidden="1">
      <c r="F308" s="2"/>
      <c r="G308" s="2"/>
      <c r="H308" s="2"/>
      <c r="I308" s="2"/>
      <c r="J308" s="2"/>
      <c r="K308" s="2"/>
      <c r="L308" s="2"/>
      <c r="M308" s="2"/>
      <c r="N308" s="2"/>
      <c r="O308" s="2"/>
      <c r="P308" s="2"/>
      <c r="Q308" s="2"/>
      <c r="R308" s="2"/>
      <c r="S308" s="2"/>
      <c r="T308" s="2"/>
      <c r="V308" s="2"/>
      <c r="W308" s="2"/>
      <c r="X308" s="2"/>
      <c r="Y308" s="2"/>
      <c r="Z308" s="2"/>
      <c r="AA308" s="2"/>
      <c r="AB308" s="2"/>
      <c r="AC308" s="2"/>
      <c r="AD308" s="2"/>
      <c r="AE308" s="2"/>
      <c r="AF308" s="2"/>
      <c r="AG308" s="2"/>
      <c r="AH308" s="2"/>
      <c r="AI308" s="2"/>
      <c r="AJ308" s="2"/>
      <c r="AK308" s="2"/>
      <c r="AL308" s="2"/>
      <c r="AM308" s="2"/>
      <c r="AN308" s="2"/>
      <c r="AO308" s="2"/>
      <c r="AP308" s="2"/>
      <c r="AQ308" s="2"/>
      <c r="AR308" s="2"/>
      <c r="AS308" s="2"/>
      <c r="AT308" s="2"/>
      <c r="AU308" s="2"/>
      <c r="AV308" s="2"/>
      <c r="AX308" s="2"/>
      <c r="AY308" s="2"/>
      <c r="AZ308" s="2"/>
      <c r="BA308" s="2"/>
      <c r="BB308" s="2"/>
      <c r="BC308" s="2"/>
      <c r="BD308" s="2"/>
      <c r="BE308" s="2"/>
      <c r="BF308" s="2"/>
      <c r="BG308" s="2"/>
      <c r="BH308" s="2"/>
      <c r="BI308" s="2"/>
      <c r="BL308" s="2"/>
      <c r="BM308" s="2"/>
    </row>
    <row r="309" spans="6:65" s="123" customFormat="1" hidden="1">
      <c r="F309" s="126"/>
      <c r="G309" s="126"/>
      <c r="H309" s="126"/>
      <c r="I309" s="127" t="s">
        <v>57</v>
      </c>
      <c r="J309" s="126" t="s">
        <v>58</v>
      </c>
      <c r="K309" s="126" t="s">
        <v>58</v>
      </c>
      <c r="L309" s="127" t="s">
        <v>59</v>
      </c>
      <c r="M309" s="126" t="s">
        <v>60</v>
      </c>
      <c r="N309" s="126" t="s">
        <v>61</v>
      </c>
      <c r="O309" s="126" t="s">
        <v>62</v>
      </c>
      <c r="P309" s="126"/>
      <c r="Q309" s="126"/>
      <c r="R309" s="126"/>
      <c r="S309" s="126"/>
      <c r="T309" s="126"/>
      <c r="V309" s="126"/>
      <c r="W309" s="126"/>
      <c r="X309" s="126"/>
      <c r="Y309" s="127" t="s">
        <v>57</v>
      </c>
      <c r="Z309" s="126" t="s">
        <v>58</v>
      </c>
      <c r="AA309" s="126" t="s">
        <v>58</v>
      </c>
      <c r="AB309" s="127" t="s">
        <v>59</v>
      </c>
      <c r="AC309" s="126" t="s">
        <v>60</v>
      </c>
      <c r="AD309" s="126" t="s">
        <v>61</v>
      </c>
      <c r="AE309" s="126" t="s">
        <v>62</v>
      </c>
      <c r="AF309" s="126"/>
      <c r="AG309" s="126"/>
      <c r="AH309" s="126"/>
      <c r="AI309" s="126"/>
      <c r="AJ309" s="126"/>
      <c r="AK309" s="126"/>
      <c r="AL309" s="126"/>
      <c r="AM309" s="127" t="s">
        <v>57</v>
      </c>
      <c r="AN309" s="126" t="s">
        <v>58</v>
      </c>
      <c r="AO309" s="126" t="s">
        <v>58</v>
      </c>
      <c r="AP309" s="127" t="s">
        <v>59</v>
      </c>
      <c r="AQ309" s="126" t="s">
        <v>60</v>
      </c>
      <c r="AR309" s="126" t="s">
        <v>61</v>
      </c>
      <c r="AS309" s="126" t="s">
        <v>62</v>
      </c>
      <c r="AT309" s="126"/>
      <c r="AU309" s="126"/>
      <c r="AV309" s="126"/>
      <c r="AX309" s="126"/>
      <c r="AY309" s="126"/>
      <c r="AZ309" s="126"/>
      <c r="BA309" s="127" t="s">
        <v>57</v>
      </c>
      <c r="BB309" s="126" t="s">
        <v>58</v>
      </c>
      <c r="BC309" s="126" t="s">
        <v>58</v>
      </c>
      <c r="BD309" s="127" t="s">
        <v>59</v>
      </c>
      <c r="BE309" s="126" t="s">
        <v>60</v>
      </c>
      <c r="BF309" s="126" t="s">
        <v>61</v>
      </c>
      <c r="BG309" s="126" t="s">
        <v>62</v>
      </c>
      <c r="BH309" s="126"/>
      <c r="BI309" s="126"/>
      <c r="BL309" s="126"/>
      <c r="BM309" s="126"/>
    </row>
    <row r="310" spans="6:65" s="123" customFormat="1" hidden="1">
      <c r="F310" s="126">
        <v>1</v>
      </c>
      <c r="G310" s="128" t="s">
        <v>83</v>
      </c>
      <c r="H310" s="128"/>
      <c r="I310" s="128" t="str">
        <f>IF(I260=1,0.0019,"")</f>
        <v/>
      </c>
      <c r="J310" s="128" t="str">
        <f>IF((J$11=G310),F310,"")</f>
        <v/>
      </c>
      <c r="K310" s="128" t="str">
        <f>IFERROR(SMALL(J$310:J$314,F310),"")</f>
        <v/>
      </c>
      <c r="L310" s="128">
        <v>177</v>
      </c>
      <c r="M310" s="3" t="b">
        <f>IF(K$310=F310,J$13*I310*4281)</f>
        <v>0</v>
      </c>
      <c r="N310" s="3" t="b">
        <f>IF(K$310=F310,J$14*I310*4281)</f>
        <v>0</v>
      </c>
      <c r="O310" s="3">
        <f>(((M310-N310)/1000)*0.000001)*J$7</f>
        <v>0</v>
      </c>
      <c r="P310" s="126" t="s">
        <v>64</v>
      </c>
      <c r="Q310" s="126"/>
      <c r="R310" s="126"/>
      <c r="S310" s="126"/>
      <c r="T310" s="126"/>
      <c r="V310" s="126">
        <v>1</v>
      </c>
      <c r="W310" s="128" t="s">
        <v>83</v>
      </c>
      <c r="X310" s="128"/>
      <c r="Y310" s="128" t="str">
        <f>IF(Y260=1,0.0019,"")</f>
        <v/>
      </c>
      <c r="Z310" s="128" t="str">
        <f>IF((K$11=W310),V310,"")</f>
        <v/>
      </c>
      <c r="AA310" s="128" t="str">
        <f>IFERROR(SMALL(Z$310:Z$314,V310),"")</f>
        <v/>
      </c>
      <c r="AB310" s="128">
        <v>177</v>
      </c>
      <c r="AC310" s="3" t="b">
        <f>IF(AA$310=V310,K$13*Y310*4281)</f>
        <v>0</v>
      </c>
      <c r="AD310" s="3" t="b">
        <f>IF(AA$310=V310,K$14*Y310*4281)</f>
        <v>0</v>
      </c>
      <c r="AE310" s="3">
        <f>(((AC310-AD310)/1000)*0.000001)*K$7</f>
        <v>0</v>
      </c>
      <c r="AF310" s="126" t="s">
        <v>64</v>
      </c>
      <c r="AG310" s="126"/>
      <c r="AH310" s="126"/>
      <c r="AI310" s="126"/>
      <c r="AJ310" s="126">
        <v>1</v>
      </c>
      <c r="AK310" s="128" t="s">
        <v>83</v>
      </c>
      <c r="AL310" s="128"/>
      <c r="AM310" s="128" t="str">
        <f>IF(AM260=1,0.0019,"")</f>
        <v/>
      </c>
      <c r="AN310" s="128" t="str">
        <f>IF((L$11=AK310),AJ310,"")</f>
        <v/>
      </c>
      <c r="AO310" s="128" t="str">
        <f>IFERROR(SMALL(AN$310:AN$314,AJ310),"")</f>
        <v/>
      </c>
      <c r="AP310" s="128">
        <v>177</v>
      </c>
      <c r="AQ310" s="3" t="b">
        <f>IF(AO$310=AJ310,L$13*AM310*4281)</f>
        <v>0</v>
      </c>
      <c r="AR310" s="3" t="b">
        <f>IF(AO$310=AJ310,L$14*AM310*4281)</f>
        <v>0</v>
      </c>
      <c r="AS310" s="3">
        <f>(((AQ310-AR310)/1000)*0.000001)*L$7</f>
        <v>0</v>
      </c>
      <c r="AT310" s="126" t="s">
        <v>64</v>
      </c>
      <c r="AU310" s="126"/>
      <c r="AV310" s="126"/>
      <c r="AX310" s="126">
        <v>1</v>
      </c>
      <c r="AY310" s="128" t="s">
        <v>83</v>
      </c>
      <c r="AZ310" s="128"/>
      <c r="BA310" s="128" t="str">
        <f>IF(BA260=1,0.0019,"")</f>
        <v/>
      </c>
      <c r="BB310" s="128" t="str">
        <f>IF((M$11=AY310),AX310,"")</f>
        <v/>
      </c>
      <c r="BC310" s="128" t="str">
        <f>IFERROR(SMALL(BB$310:BB$314,AX310),"")</f>
        <v/>
      </c>
      <c r="BD310" s="128">
        <v>177</v>
      </c>
      <c r="BE310" s="3" t="b">
        <f>IF(BC$310=AX310,M$13*BA310*4281)</f>
        <v>0</v>
      </c>
      <c r="BF310" s="3" t="b">
        <f>IF(BC$310=AX310,M$14*BA310*4281)</f>
        <v>0</v>
      </c>
      <c r="BG310" s="3">
        <f>(((BE310-BF310)/1000)*0.000001)*M$7</f>
        <v>0</v>
      </c>
      <c r="BH310" s="126" t="s">
        <v>64</v>
      </c>
      <c r="BI310" s="126"/>
      <c r="BL310" s="126" t="s">
        <v>64</v>
      </c>
      <c r="BM310" s="126"/>
    </row>
    <row r="311" spans="6:65" s="123" customFormat="1" hidden="1">
      <c r="F311" s="126">
        <v>2</v>
      </c>
      <c r="G311" s="128" t="s">
        <v>151</v>
      </c>
      <c r="H311" s="128"/>
      <c r="I311" s="128">
        <f>IF(N260=1,0.0058, IF(N260=2, 0.0029, IF(N260=3, 0.0029, IF(N260=4, 0.0029, IF(N260=5, 0.0029, IF(N260=6, 0.011, IF(N260=7, 0.009, IF(N260=8, 0.009,""))))))))</f>
        <v>5.7999999999999996E-3</v>
      </c>
      <c r="J311" s="128" t="str">
        <f>IF((J$11=G311),F311,"")</f>
        <v/>
      </c>
      <c r="K311" s="128" t="str">
        <f t="shared" ref="K311:K314" si="126">IFERROR(SMALL(J$310:J$314,F311),"")</f>
        <v/>
      </c>
      <c r="L311" s="128">
        <v>101</v>
      </c>
      <c r="M311" s="3" t="b">
        <f>IF(K$310=F311,J$13*I311*23713)</f>
        <v>0</v>
      </c>
      <c r="N311" s="3" t="b">
        <f>IF(K$310=F311,J$14*I311*23713)</f>
        <v>0</v>
      </c>
      <c r="O311" s="3">
        <f>(((M311-N311)/1000)*0.000001)*J$7</f>
        <v>0</v>
      </c>
      <c r="P311" s="126" t="s">
        <v>64</v>
      </c>
      <c r="Q311" s="126"/>
      <c r="R311" s="126"/>
      <c r="S311" s="126"/>
      <c r="T311" s="126"/>
      <c r="V311" s="126">
        <v>2</v>
      </c>
      <c r="W311" s="128" t="s">
        <v>151</v>
      </c>
      <c r="X311" s="128"/>
      <c r="Y311" s="128">
        <f>IF(AD260=1,0.0058, IF(AD260=2, 0.0029, IF(AD260=3, 0.0029, IF(AD260=4, 0.0029, IF(AD260=5, 0.0029, IF(AD260=6, 0.011, IF(AD260=7, 0.009, IF(AD260=8, 0.009,""))))))))</f>
        <v>5.7999999999999996E-3</v>
      </c>
      <c r="Z311" s="128" t="str">
        <f t="shared" ref="Z311:Z314" si="127">IF((K$11=W311),V311,"")</f>
        <v/>
      </c>
      <c r="AA311" s="128" t="str">
        <f>IFERROR(SMALL(Z$303:Z$307,V311),"")</f>
        <v/>
      </c>
      <c r="AB311" s="128">
        <v>101</v>
      </c>
      <c r="AC311" s="3" t="b">
        <f>IF(AA$310=V311,K$13*Y311*23713)</f>
        <v>0</v>
      </c>
      <c r="AD311" s="3" t="b">
        <f>IF(AA$310=V311,K$14*Y311*23713)</f>
        <v>0</v>
      </c>
      <c r="AE311" s="3">
        <f>(((AC311-AD311)/1000)*0.000001)*K$7</f>
        <v>0</v>
      </c>
      <c r="AF311" s="126" t="s">
        <v>64</v>
      </c>
      <c r="AG311" s="126"/>
      <c r="AH311" s="126"/>
      <c r="AI311" s="126"/>
      <c r="AJ311" s="126">
        <v>2</v>
      </c>
      <c r="AK311" s="128" t="s">
        <v>151</v>
      </c>
      <c r="AL311" s="128"/>
      <c r="AM311" s="128">
        <f>IF(AR260=1,0.0058, IF(AR260=2, 0.0029, IF(AR260=3, 0.0029, IF(AR260=4, 0.0029, IF(AR260=5, 0.0029, IF(AR260=6, 0.011, IF(AR260=7, 0.009, IF(AR260=8, 0.009,""))))))))</f>
        <v>5.7999999999999996E-3</v>
      </c>
      <c r="AN311" s="128" t="str">
        <f t="shared" ref="AN311:AN314" si="128">IF((L$11=AK311),AJ311,"")</f>
        <v/>
      </c>
      <c r="AO311" s="128" t="str">
        <f t="shared" ref="AO311:AO314" si="129">IFERROR(SMALL(AN$310:AN$314,AJ311),"")</f>
        <v/>
      </c>
      <c r="AP311" s="128">
        <v>101</v>
      </c>
      <c r="AQ311" s="3" t="b">
        <f>IF(AO$310=AJ311,L$13*AM311*23713)</f>
        <v>0</v>
      </c>
      <c r="AR311" s="3" t="b">
        <f>IF(AO$310=AJ311,L$14*AM311*23713)</f>
        <v>0</v>
      </c>
      <c r="AS311" s="3">
        <f>(((AQ311-AR311)/1000)*0.000001)*L$7</f>
        <v>0</v>
      </c>
      <c r="AT311" s="126" t="s">
        <v>64</v>
      </c>
      <c r="AU311" s="126"/>
      <c r="AV311" s="126"/>
      <c r="AX311" s="126">
        <v>2</v>
      </c>
      <c r="AY311" s="128" t="s">
        <v>151</v>
      </c>
      <c r="AZ311" s="128"/>
      <c r="BA311" s="128">
        <f>IF(BF260=1,0.0058, IF(BF260=2, 0.0029, IF(BF260=3, 0.0029, IF(BF260=4, 0.0029, IF(BF260=5, 0.0029, IF(BF260=6, 0.011, IF(BF260=7, 0.009, IF(BF260=8, 0.009,""))))))))</f>
        <v>5.7999999999999996E-3</v>
      </c>
      <c r="BB311" s="128" t="str">
        <f t="shared" ref="BB311:BB314" si="130">IF((M$11=AY311),AX311,"")</f>
        <v/>
      </c>
      <c r="BC311" s="128" t="str">
        <f t="shared" ref="BC311:BC314" si="131">IFERROR(SMALL(BB$310:BB$314,AX311),"")</f>
        <v/>
      </c>
      <c r="BD311" s="128">
        <v>101</v>
      </c>
      <c r="BE311" s="3" t="b">
        <f>IF(BC$310=AX311,M$13*BA311*23713)</f>
        <v>0</v>
      </c>
      <c r="BF311" s="3" t="b">
        <f>IF(BC$310=AX311,M$14*BA311*23713)</f>
        <v>0</v>
      </c>
      <c r="BG311" s="3">
        <f t="shared" ref="BG311:BG314" si="132">(((BE311-BF311)/1000)*0.000001)*M$7</f>
        <v>0</v>
      </c>
      <c r="BH311" s="126" t="s">
        <v>64</v>
      </c>
      <c r="BI311" s="126"/>
      <c r="BL311" s="126" t="s">
        <v>64</v>
      </c>
      <c r="BM311" s="126"/>
    </row>
    <row r="312" spans="6:65" s="123" customFormat="1" hidden="1">
      <c r="F312" s="126">
        <v>3</v>
      </c>
      <c r="G312" s="128" t="s">
        <v>152</v>
      </c>
      <c r="H312" s="128"/>
      <c r="I312" s="128">
        <f>IF(N260=1,0.0058,IF(N260=2, 0.0029, IF(N260=3,0.0029, IF(N260=4,0.0029, IF(N260=5, 0.0029, IF(N260=6, 0.011, IF(N260=7, 0.009, IF(N260=8, 0.009,""))))))))</f>
        <v>5.7999999999999996E-3</v>
      </c>
      <c r="J312" s="128" t="str">
        <f>IF((J$11=G312),F312,"")</f>
        <v/>
      </c>
      <c r="K312" s="128" t="str">
        <f t="shared" si="126"/>
        <v/>
      </c>
      <c r="L312" s="128">
        <v>155</v>
      </c>
      <c r="M312" s="3" t="b">
        <f>IF(K$310=F312,J$13*I312*39994)</f>
        <v>0</v>
      </c>
      <c r="N312" s="3" t="b">
        <f>IF(K$310=F312,J$14*I312*39994)</f>
        <v>0</v>
      </c>
      <c r="O312" s="3">
        <f>(((M312-N312)/1000)*0.000001)*J$7</f>
        <v>0</v>
      </c>
      <c r="P312" s="126" t="s">
        <v>64</v>
      </c>
      <c r="Q312" s="126"/>
      <c r="R312" s="126"/>
      <c r="S312" s="126"/>
      <c r="T312" s="126"/>
      <c r="V312" s="126">
        <v>3</v>
      </c>
      <c r="W312" s="128" t="s">
        <v>152</v>
      </c>
      <c r="X312" s="128"/>
      <c r="Y312" s="128">
        <f>IF(AD260=1,0.0058,IF(AD260=2, 0.0029, IF(AD260=3,0.0029, IF(AD260=4,0.0029, IF(AD260=5, 0.0029, IF(AD260=6, 0.011, IF(AD260=7, 0.009, IF(AD260=8, 0.009,""))))))))</f>
        <v>5.7999999999999996E-3</v>
      </c>
      <c r="Z312" s="128" t="str">
        <f t="shared" si="127"/>
        <v/>
      </c>
      <c r="AA312" s="128" t="str">
        <f>IFERROR(SMALL(Z$303:Z$307,V312),"")</f>
        <v/>
      </c>
      <c r="AB312" s="128">
        <v>155</v>
      </c>
      <c r="AC312" s="3" t="b">
        <f>IF(AA$310=V312,K$13*Y312*39994)</f>
        <v>0</v>
      </c>
      <c r="AD312" s="3" t="b">
        <f>IF(AA$310=V312,K$14*Y312*39994)</f>
        <v>0</v>
      </c>
      <c r="AE312" s="3">
        <f>(((AC312-AD312)/1000)*0.000001)*K$7</f>
        <v>0</v>
      </c>
      <c r="AF312" s="126" t="s">
        <v>64</v>
      </c>
      <c r="AG312" s="126"/>
      <c r="AH312" s="126"/>
      <c r="AI312" s="126"/>
      <c r="AJ312" s="126">
        <v>3</v>
      </c>
      <c r="AK312" s="128" t="s">
        <v>152</v>
      </c>
      <c r="AL312" s="128"/>
      <c r="AM312" s="128">
        <f>IF(AR260=1,0.0058,IF(AR260=2, 0.0029, IF(AR260=3,0.0029, IF(AR260=4,0.0029, IF(AR260=5, 0.0029, IF(AR260=6, 0.011, IF(AR260=7, 0.009, IF(AR260=8, 0.009,""))))))))</f>
        <v>5.7999999999999996E-3</v>
      </c>
      <c r="AN312" s="128" t="str">
        <f t="shared" si="128"/>
        <v/>
      </c>
      <c r="AO312" s="128" t="str">
        <f t="shared" si="129"/>
        <v/>
      </c>
      <c r="AP312" s="128">
        <v>155</v>
      </c>
      <c r="AQ312" s="3" t="b">
        <f>IF(AO$310=AJ312,L$13*AM312*39994)</f>
        <v>0</v>
      </c>
      <c r="AR312" s="3" t="b">
        <f>IF(AO$310=AJ312,L$14*AM312*39994)</f>
        <v>0</v>
      </c>
      <c r="AS312" s="3">
        <f>(((AQ312-AR312)/1000)*0.000001)*L$7</f>
        <v>0</v>
      </c>
      <c r="AT312" s="126" t="s">
        <v>64</v>
      </c>
      <c r="AU312" s="126"/>
      <c r="AV312" s="126"/>
      <c r="AX312" s="126">
        <v>3</v>
      </c>
      <c r="AY312" s="128" t="s">
        <v>152</v>
      </c>
      <c r="AZ312" s="128"/>
      <c r="BA312" s="128">
        <f>IF(BF260=1,0.0058,IF(BF260=2, 0.0029, IF(BF260=3,0.0029, IF(BF260=4,0.0029, IF(BF260=5, 0.0029, IF(BF260=6, 0.011, IF(BF260=7, 0.009, IF(BF260=8, 0.009,""))))))))</f>
        <v>5.7999999999999996E-3</v>
      </c>
      <c r="BB312" s="128" t="str">
        <f t="shared" si="130"/>
        <v/>
      </c>
      <c r="BC312" s="128" t="str">
        <f t="shared" si="131"/>
        <v/>
      </c>
      <c r="BD312" s="128">
        <v>155</v>
      </c>
      <c r="BE312" s="3" t="b">
        <f>IF(BC$310=AX312,M$13*BA312*39994)</f>
        <v>0</v>
      </c>
      <c r="BF312" s="3" t="b">
        <f>IF(BC$310=AX312,M$14*BA312*39994)</f>
        <v>0</v>
      </c>
      <c r="BG312" s="3">
        <f t="shared" si="132"/>
        <v>0</v>
      </c>
      <c r="BH312" s="126" t="s">
        <v>64</v>
      </c>
      <c r="BI312" s="126"/>
      <c r="BL312" s="126" t="s">
        <v>64</v>
      </c>
      <c r="BM312" s="126"/>
    </row>
    <row r="313" spans="6:65" s="123" customFormat="1" hidden="1">
      <c r="F313" s="126">
        <v>4</v>
      </c>
      <c r="G313" s="128" t="s">
        <v>153</v>
      </c>
      <c r="H313" s="128"/>
      <c r="I313" s="128">
        <f>IF(N260=1,0.0058, IF(N260=2, 0.0029, IF(N260=3, 0.0029, IF(N260=4,0.0029, IF(N260=5, 0.0029, IF(N260=6, 0.011, IF(N260=7, 0.009, IF(N260=8, 0.009,""))))))))</f>
        <v>5.7999999999999996E-3</v>
      </c>
      <c r="J313" s="128" t="str">
        <f>IF((J$11=G313),F313,"")</f>
        <v/>
      </c>
      <c r="K313" s="128" t="str">
        <f t="shared" si="126"/>
        <v/>
      </c>
      <c r="L313" s="128">
        <v>210</v>
      </c>
      <c r="M313" s="3" t="b">
        <f>IF(K$310=F313,J$13*I313*56275)</f>
        <v>0</v>
      </c>
      <c r="N313" s="3" t="b">
        <f>IF(K$310=F313,J$14*I313*56275)</f>
        <v>0</v>
      </c>
      <c r="O313" s="3">
        <f>(((M313-N313)/1000)*0.000001)*J$7</f>
        <v>0</v>
      </c>
      <c r="P313" s="126" t="s">
        <v>64</v>
      </c>
      <c r="Q313" s="126"/>
      <c r="R313" s="126"/>
      <c r="S313" s="126"/>
      <c r="T313" s="126"/>
      <c r="V313" s="126">
        <v>4</v>
      </c>
      <c r="W313" s="128" t="s">
        <v>153</v>
      </c>
      <c r="X313" s="128"/>
      <c r="Y313" s="128">
        <f>IF(AD260=1,0.0058, IF(AD260=2, 0.0029, IF(AD260=3, 0.0029, IF(AD260=4,0.0029, IF(AD260=5, 0.0029, IF(AD260=6, 0.011, IF(AD260=7, 0.009, IF(AD260=8, 0.009,""))))))))</f>
        <v>5.7999999999999996E-3</v>
      </c>
      <c r="Z313" s="128" t="str">
        <f t="shared" si="127"/>
        <v/>
      </c>
      <c r="AA313" s="128" t="str">
        <f>IFERROR(SMALL(Z$303:Z$307,V313),"")</f>
        <v/>
      </c>
      <c r="AB313" s="128">
        <v>210</v>
      </c>
      <c r="AC313" s="3" t="b">
        <f>IF(AA$310=V313,K$13*Y313*56275)</f>
        <v>0</v>
      </c>
      <c r="AD313" s="3" t="b">
        <f>IF(AA$310=V313,K$14*Y313*56275)</f>
        <v>0</v>
      </c>
      <c r="AE313" s="3">
        <f>(((AC313-AD313)/1000)*0.000001)*K$7</f>
        <v>0</v>
      </c>
      <c r="AF313" s="126" t="s">
        <v>64</v>
      </c>
      <c r="AG313" s="126"/>
      <c r="AH313" s="126"/>
      <c r="AI313" s="126"/>
      <c r="AJ313" s="126">
        <v>4</v>
      </c>
      <c r="AK313" s="128" t="s">
        <v>153</v>
      </c>
      <c r="AL313" s="128"/>
      <c r="AM313" s="128">
        <f>IF(AR260=1,0.0058, IF(AR260=2, 0.0029, IF(AR260=3, 0.0029, IF(AR260=4,0.0029, IF(AR260=5, 0.0029, IF(AR260=6, 0.011, IF(AR260=7, 0.009, IF(AR260=8, 0.009,""))))))))</f>
        <v>5.7999999999999996E-3</v>
      </c>
      <c r="AN313" s="128" t="str">
        <f t="shared" si="128"/>
        <v/>
      </c>
      <c r="AO313" s="128" t="str">
        <f t="shared" si="129"/>
        <v/>
      </c>
      <c r="AP313" s="128">
        <v>210</v>
      </c>
      <c r="AQ313" s="3" t="b">
        <f>IF(AO$310=AJ313,L$13*AM313*56275)</f>
        <v>0</v>
      </c>
      <c r="AR313" s="3" t="b">
        <f>IF(AO$310=AJ313,L$14*AM313*56275)</f>
        <v>0</v>
      </c>
      <c r="AS313" s="3">
        <f>(((AQ313-AR313)/1000)*0.000001)*L$7</f>
        <v>0</v>
      </c>
      <c r="AT313" s="126" t="s">
        <v>64</v>
      </c>
      <c r="AU313" s="126"/>
      <c r="AV313" s="126"/>
      <c r="AX313" s="126">
        <v>4</v>
      </c>
      <c r="AY313" s="128" t="s">
        <v>153</v>
      </c>
      <c r="AZ313" s="128"/>
      <c r="BA313" s="128">
        <f>IF(BF260=1,0.0058, IF(BF260=2, 0.0029, IF(BF260=3, 0.0029, IF(BF260=4,0.0029, IF(BF260=5, 0.0029, IF(BF260=6, 0.011, IF(BF260=7, 0.009, IF(BF260=8, 0.009,""))))))))</f>
        <v>5.7999999999999996E-3</v>
      </c>
      <c r="BB313" s="128" t="str">
        <f t="shared" si="130"/>
        <v/>
      </c>
      <c r="BC313" s="128" t="str">
        <f t="shared" si="131"/>
        <v/>
      </c>
      <c r="BD313" s="128">
        <v>210</v>
      </c>
      <c r="BE313" s="3" t="b">
        <f>IF(BC$310=AX313,M$13*BA313*56275)</f>
        <v>0</v>
      </c>
      <c r="BF313" s="3" t="b">
        <f>IF(BC$310=AX313,M$14*BA313*56275)</f>
        <v>0</v>
      </c>
      <c r="BG313" s="3">
        <f t="shared" si="132"/>
        <v>0</v>
      </c>
      <c r="BH313" s="126" t="s">
        <v>64</v>
      </c>
      <c r="BI313" s="126"/>
      <c r="BL313" s="126" t="s">
        <v>64</v>
      </c>
      <c r="BM313" s="126"/>
    </row>
    <row r="314" spans="6:65" s="123" customFormat="1" hidden="1">
      <c r="F314" s="126">
        <v>5</v>
      </c>
      <c r="G314" s="128" t="s">
        <v>154</v>
      </c>
      <c r="H314" s="128"/>
      <c r="I314" s="128">
        <f>IF(N260=1,0.0058, IF(N260=2, 0.0029, IF(N260=3, 0.0029, IF(N260=4, 0.0029, IF(N260=5, 0.0029, IF(N260=6, 0.011, IF(N260=7, 0.009, IF(N260=8, 0.009,""))))))))</f>
        <v>5.7999999999999996E-3</v>
      </c>
      <c r="J314" s="128" t="str">
        <f>IF((J$11=G314),F314,"")</f>
        <v/>
      </c>
      <c r="K314" s="128" t="str">
        <f t="shared" si="126"/>
        <v/>
      </c>
      <c r="L314" s="128">
        <v>251</v>
      </c>
      <c r="M314" s="3" t="b">
        <f>IF(K$310=F314,J$13*I314*56275)</f>
        <v>0</v>
      </c>
      <c r="N314" s="3" t="b">
        <f>IF(K$310=F314,J$14*I314*56275)</f>
        <v>0</v>
      </c>
      <c r="O314" s="3">
        <f>(((M314-N314)/1000)*0.000001)*J$7</f>
        <v>0</v>
      </c>
      <c r="P314" s="126" t="s">
        <v>64</v>
      </c>
      <c r="Q314" s="126"/>
      <c r="R314" s="126"/>
      <c r="S314" s="126"/>
      <c r="T314" s="126"/>
      <c r="V314" s="126">
        <v>5</v>
      </c>
      <c r="W314" s="128" t="s">
        <v>154</v>
      </c>
      <c r="X314" s="128"/>
      <c r="Y314" s="128">
        <f>IF(AD260=1,0.0058, IF(AD260=2, 0.0029, IF(AD260=3, 0.0029, IF(AD260=4, 0.0029, IF(AD260=5, 0.0029, IF(AD260=6, 0.011, IF(AD260=7, 0.009, IF(AD260=8, 0.009,""))))))))</f>
        <v>5.7999999999999996E-3</v>
      </c>
      <c r="Z314" s="128" t="str">
        <f t="shared" si="127"/>
        <v/>
      </c>
      <c r="AA314" s="128" t="str">
        <f>IFERROR(SMALL(Z$303:Z$307,V314),"")</f>
        <v/>
      </c>
      <c r="AB314" s="128">
        <v>251</v>
      </c>
      <c r="AC314" s="3" t="b">
        <f>IF(AA$310=V314,K$13*Y314*56275)</f>
        <v>0</v>
      </c>
      <c r="AD314" s="3" t="b">
        <f>IF(AA$310=V314,K$14*Y314*56275)</f>
        <v>0</v>
      </c>
      <c r="AE314" s="3">
        <f>(((AC314-AD314)/1000)*0.000001)*K$7</f>
        <v>0</v>
      </c>
      <c r="AF314" s="126" t="s">
        <v>64</v>
      </c>
      <c r="AG314" s="126"/>
      <c r="AH314" s="126"/>
      <c r="AI314" s="126"/>
      <c r="AJ314" s="126">
        <v>5</v>
      </c>
      <c r="AK314" s="128" t="s">
        <v>154</v>
      </c>
      <c r="AL314" s="128"/>
      <c r="AM314" s="128">
        <f>IF(AR260=1,0.0058, IF(AR260=2, 0.0029, IF(AR260=3, 0.0029, IF(AR260=4, 0.0029, IF(AR260=5, 0.0029, IF(AR260=6, 0.011, IF(AR260=7, 0.009, IF(AR260=8, 0.009,""))))))))</f>
        <v>5.7999999999999996E-3</v>
      </c>
      <c r="AN314" s="128" t="str">
        <f t="shared" si="128"/>
        <v/>
      </c>
      <c r="AO314" s="128" t="str">
        <f t="shared" si="129"/>
        <v/>
      </c>
      <c r="AP314" s="128">
        <v>251</v>
      </c>
      <c r="AQ314" s="3" t="b">
        <f>IF(AO$310=AJ314,L$13*AM314*56275)</f>
        <v>0</v>
      </c>
      <c r="AR314" s="3" t="b">
        <f>IF(AO$310=AJ314,L$14*AM314*56275)</f>
        <v>0</v>
      </c>
      <c r="AS314" s="3">
        <f>(((AQ314-AR314)/1000)*0.000001)*L$7</f>
        <v>0</v>
      </c>
      <c r="AT314" s="126" t="s">
        <v>64</v>
      </c>
      <c r="AU314" s="126"/>
      <c r="AV314" s="126"/>
      <c r="AX314" s="126">
        <v>5</v>
      </c>
      <c r="AY314" s="128" t="s">
        <v>154</v>
      </c>
      <c r="AZ314" s="128"/>
      <c r="BA314" s="128">
        <f>IF(BF260=1,0.0058, IF(BF260=2, 0.0029, IF(BF260=3, 0.0029, IF(BF260=4, 0.0029, IF(BF260=5, 0.0029, IF(BF260=6, 0.011, IF(BF260=7, 0.009, IF(BF260=8, 0.009,""))))))))</f>
        <v>5.7999999999999996E-3</v>
      </c>
      <c r="BB314" s="128" t="str">
        <f t="shared" si="130"/>
        <v/>
      </c>
      <c r="BC314" s="128" t="str">
        <f t="shared" si="131"/>
        <v/>
      </c>
      <c r="BD314" s="128">
        <v>251</v>
      </c>
      <c r="BE314" s="3" t="b">
        <f>IF(BC$310=AX314,M$13*BA314*56275)</f>
        <v>0</v>
      </c>
      <c r="BF314" s="3" t="b">
        <f>IF(BC$310=AX314,M$14*BA314*56275)</f>
        <v>0</v>
      </c>
      <c r="BG314" s="3">
        <f t="shared" si="132"/>
        <v>0</v>
      </c>
      <c r="BH314" s="126" t="s">
        <v>64</v>
      </c>
      <c r="BI314" s="126"/>
      <c r="BL314" s="126" t="s">
        <v>64</v>
      </c>
      <c r="BM314" s="126"/>
    </row>
    <row r="315" spans="6:65" hidden="1">
      <c r="F315" s="2"/>
      <c r="G315" s="2"/>
      <c r="H315" s="2"/>
      <c r="I315" s="2"/>
      <c r="J315" s="2"/>
      <c r="K315" s="2"/>
      <c r="L315" s="2"/>
      <c r="M315" s="2"/>
      <c r="N315" s="2"/>
      <c r="O315" s="2"/>
      <c r="P315" s="2"/>
      <c r="Q315" s="2"/>
      <c r="R315" s="2"/>
      <c r="S315" s="2"/>
      <c r="T315" s="2"/>
      <c r="V315" s="2"/>
      <c r="W315" s="2"/>
      <c r="X315" s="2"/>
      <c r="Y315" s="2"/>
      <c r="Z315" s="2"/>
      <c r="AA315" s="2"/>
      <c r="AB315" s="2"/>
      <c r="AC315" s="2"/>
      <c r="AD315" s="2"/>
      <c r="AE315" s="2"/>
      <c r="AF315" s="2"/>
      <c r="AG315" s="2"/>
      <c r="AH315" s="2"/>
      <c r="AI315" s="2"/>
      <c r="AJ315" s="2"/>
      <c r="AK315" s="2"/>
      <c r="AL315" s="2"/>
      <c r="AM315" s="2"/>
      <c r="AN315" s="2"/>
      <c r="AO315" s="2"/>
      <c r="AP315" s="2"/>
      <c r="AQ315" s="2"/>
      <c r="AR315" s="2"/>
      <c r="AS315" s="2"/>
      <c r="AT315" s="2"/>
      <c r="AU315" s="2"/>
      <c r="AV315" s="2"/>
      <c r="AX315" s="2"/>
      <c r="AY315" s="2"/>
      <c r="AZ315" s="2"/>
      <c r="BA315" s="2"/>
      <c r="BB315" s="2"/>
      <c r="BC315" s="2"/>
      <c r="BD315" s="2"/>
      <c r="BE315" s="2"/>
      <c r="BF315" s="2"/>
      <c r="BG315" s="2"/>
      <c r="BH315" s="2"/>
      <c r="BI315" s="2"/>
      <c r="BL315" s="2"/>
      <c r="BM315" s="2"/>
    </row>
    <row r="316" spans="6:65" hidden="1">
      <c r="F316" s="2"/>
      <c r="G316" s="2"/>
      <c r="H316" s="2"/>
      <c r="I316" s="2"/>
      <c r="J316" s="2"/>
      <c r="K316" s="2"/>
      <c r="L316" s="2"/>
      <c r="M316" s="2"/>
      <c r="N316" s="2"/>
      <c r="O316" s="2"/>
      <c r="P316" s="2"/>
      <c r="Q316" s="2"/>
      <c r="R316" s="2"/>
      <c r="S316" s="2"/>
      <c r="T316" s="2"/>
      <c r="V316" s="2"/>
      <c r="W316" s="2"/>
      <c r="X316" s="2"/>
      <c r="Y316" s="2"/>
      <c r="Z316" s="2"/>
      <c r="AA316" s="2"/>
      <c r="AB316" s="2"/>
      <c r="AC316" s="2"/>
      <c r="AD316" s="2"/>
      <c r="AE316" s="2"/>
      <c r="AF316" s="2"/>
      <c r="AG316" s="2"/>
      <c r="AH316" s="2"/>
      <c r="AI316" s="2"/>
      <c r="AJ316" s="2"/>
      <c r="AK316" s="2"/>
      <c r="AL316" s="2"/>
      <c r="AM316" s="2"/>
      <c r="AN316" s="2"/>
      <c r="AO316" s="2"/>
      <c r="AP316" s="2"/>
      <c r="AQ316" s="2"/>
      <c r="AR316" s="2"/>
      <c r="AS316" s="2"/>
      <c r="AT316" s="2"/>
      <c r="AU316" s="2"/>
      <c r="AV316" s="2"/>
      <c r="AX316" s="2"/>
      <c r="AY316" s="2"/>
      <c r="AZ316" s="2"/>
      <c r="BA316" s="2"/>
      <c r="BB316" s="2"/>
      <c r="BC316" s="2"/>
      <c r="BD316" s="2"/>
      <c r="BE316" s="2"/>
      <c r="BF316" s="2"/>
      <c r="BG316" s="2"/>
      <c r="BH316" s="2"/>
      <c r="BI316" s="2"/>
      <c r="BL316" s="2"/>
      <c r="BM316" s="2"/>
    </row>
    <row r="317" spans="6:65" hidden="1">
      <c r="F317" s="2"/>
      <c r="G317" s="2"/>
      <c r="H317" s="2"/>
      <c r="I317" s="12" t="s">
        <v>71</v>
      </c>
      <c r="J317" s="2" t="s">
        <v>58</v>
      </c>
      <c r="K317" s="2" t="s">
        <v>58</v>
      </c>
      <c r="L317" s="12" t="s">
        <v>59</v>
      </c>
      <c r="M317" s="2" t="s">
        <v>60</v>
      </c>
      <c r="N317" s="2" t="s">
        <v>61</v>
      </c>
      <c r="O317" s="2" t="s">
        <v>62</v>
      </c>
      <c r="P317" s="2"/>
      <c r="Q317" s="2"/>
      <c r="R317" s="2"/>
      <c r="S317" s="2"/>
      <c r="T317" s="2"/>
      <c r="V317" s="2"/>
      <c r="W317" s="2"/>
      <c r="X317" s="2"/>
      <c r="Y317" s="12" t="s">
        <v>71</v>
      </c>
      <c r="Z317" s="2" t="s">
        <v>58</v>
      </c>
      <c r="AA317" s="2" t="s">
        <v>58</v>
      </c>
      <c r="AB317" s="12" t="s">
        <v>59</v>
      </c>
      <c r="AC317" s="2" t="s">
        <v>60</v>
      </c>
      <c r="AD317" s="2" t="s">
        <v>61</v>
      </c>
      <c r="AE317" s="2" t="s">
        <v>62</v>
      </c>
      <c r="AF317" s="2"/>
      <c r="AG317" s="2"/>
      <c r="AH317" s="2"/>
      <c r="AI317" s="2"/>
      <c r="AJ317" s="2"/>
      <c r="AK317" s="2"/>
      <c r="AL317" s="2"/>
      <c r="AM317" s="12" t="s">
        <v>71</v>
      </c>
      <c r="AN317" s="2" t="s">
        <v>58</v>
      </c>
      <c r="AO317" s="2" t="s">
        <v>58</v>
      </c>
      <c r="AP317" s="12" t="s">
        <v>59</v>
      </c>
      <c r="AQ317" s="2" t="s">
        <v>60</v>
      </c>
      <c r="AR317" s="2" t="s">
        <v>61</v>
      </c>
      <c r="AS317" s="2" t="s">
        <v>62</v>
      </c>
      <c r="AT317" s="2"/>
      <c r="AU317" s="2"/>
      <c r="AV317" s="2"/>
      <c r="AX317" s="2"/>
      <c r="AY317" s="2"/>
      <c r="AZ317" s="2"/>
      <c r="BA317" s="12" t="s">
        <v>71</v>
      </c>
      <c r="BB317" s="2" t="s">
        <v>58</v>
      </c>
      <c r="BC317" s="2" t="s">
        <v>58</v>
      </c>
      <c r="BD317" s="12" t="s">
        <v>59</v>
      </c>
      <c r="BE317" s="2" t="s">
        <v>60</v>
      </c>
      <c r="BF317" s="2" t="s">
        <v>61</v>
      </c>
      <c r="BG317" s="2" t="s">
        <v>62</v>
      </c>
      <c r="BH317" s="2"/>
      <c r="BI317" s="2"/>
      <c r="BL317" s="2"/>
      <c r="BM317" s="2"/>
    </row>
    <row r="318" spans="6:65" hidden="1">
      <c r="F318" s="2">
        <v>1</v>
      </c>
      <c r="G318" s="3" t="s">
        <v>83</v>
      </c>
      <c r="H318" s="3"/>
      <c r="I318" s="3" t="str">
        <f>IF(I250=1,0,"")</f>
        <v/>
      </c>
      <c r="J318" s="3" t="str">
        <f>IF((J$9=G318),F318,"")</f>
        <v/>
      </c>
      <c r="K318" s="3" t="str">
        <f>IFERROR(SMALL(J$318:J$322,F318),"")</f>
        <v/>
      </c>
      <c r="L318" s="3">
        <v>177</v>
      </c>
      <c r="M318" s="3" t="b">
        <f>IF(K$318=F318,J$13*I318*4281)</f>
        <v>0</v>
      </c>
      <c r="N318" s="3" t="b">
        <f>IF(K$318=F318,J$14*I318*4281)</f>
        <v>0</v>
      </c>
      <c r="O318" s="3">
        <f>(((M318-N318)/1000)*0.000001)*J$7</f>
        <v>0</v>
      </c>
      <c r="P318" s="2" t="s">
        <v>64</v>
      </c>
      <c r="Q318" s="2"/>
      <c r="R318" s="2"/>
      <c r="S318" s="2"/>
      <c r="T318" s="2"/>
      <c r="V318" s="2">
        <v>1</v>
      </c>
      <c r="W318" s="3" t="s">
        <v>83</v>
      </c>
      <c r="X318" s="3"/>
      <c r="Y318" s="3" t="str">
        <f>IF(Y250=1,0,"")</f>
        <v/>
      </c>
      <c r="Z318" s="3" t="str">
        <f>IF((K$9=W318),V318,"")</f>
        <v/>
      </c>
      <c r="AA318" s="3" t="str">
        <f>IFERROR(SMALL(Z$318:Z$322,V318),"")</f>
        <v/>
      </c>
      <c r="AB318" s="3">
        <v>177</v>
      </c>
      <c r="AC318" s="3" t="b">
        <f>IF(AA$318=V318,K$13*Y318*4281)</f>
        <v>0</v>
      </c>
      <c r="AD318" s="3" t="b">
        <f>IF(AA$318=V318,K$14*Y318*4281)</f>
        <v>0</v>
      </c>
      <c r="AE318" s="3">
        <f>(((AC318-AD318)/1000)*0.000001)*K$7</f>
        <v>0</v>
      </c>
      <c r="AF318" s="2" t="s">
        <v>64</v>
      </c>
      <c r="AG318" s="2"/>
      <c r="AH318" s="2"/>
      <c r="AI318" s="2"/>
      <c r="AJ318" s="2">
        <v>1</v>
      </c>
      <c r="AK318" s="3" t="s">
        <v>83</v>
      </c>
      <c r="AL318" s="3"/>
      <c r="AM318" s="3" t="str">
        <f>IF(AM250=1,0,"")</f>
        <v/>
      </c>
      <c r="AN318" s="3" t="str">
        <f>IF((L$9=AK318),AJ318,"")</f>
        <v/>
      </c>
      <c r="AO318" s="3" t="str">
        <f>IFERROR(SMALL(AN$318:AN$322,AJ318),"")</f>
        <v/>
      </c>
      <c r="AP318" s="3">
        <v>177</v>
      </c>
      <c r="AQ318" s="3" t="b">
        <f>IF(AO$318=AJ318,L$13*AM318*4281)</f>
        <v>0</v>
      </c>
      <c r="AR318" s="3" t="b">
        <f>IF(AO$318=AJ318,L$14*AM318*4281)</f>
        <v>0</v>
      </c>
      <c r="AS318" s="3">
        <f>(((AQ318-AR318)/1000)*0.000001)*L$7</f>
        <v>0</v>
      </c>
      <c r="AT318" s="2" t="s">
        <v>64</v>
      </c>
      <c r="AU318" s="2"/>
      <c r="AV318" s="2"/>
      <c r="AX318" s="2">
        <v>1</v>
      </c>
      <c r="AY318" s="3" t="s">
        <v>83</v>
      </c>
      <c r="AZ318" s="3"/>
      <c r="BA318" s="3" t="str">
        <f>IF(BA250=1,0,"")</f>
        <v/>
      </c>
      <c r="BB318" s="3" t="str">
        <f>IF((M$9=AY318),AX318,"")</f>
        <v/>
      </c>
      <c r="BC318" s="3" t="str">
        <f>IFERROR(SMALL(BB$318:BB$322,AX318),"")</f>
        <v/>
      </c>
      <c r="BD318" s="3">
        <v>177</v>
      </c>
      <c r="BE318" s="3" t="b">
        <f>IF(BC$318=AX318,M$13*BA318*4281)</f>
        <v>0</v>
      </c>
      <c r="BF318" s="3" t="b">
        <f>IF(BC$318=AX318,M$14*BA318*4281)</f>
        <v>0</v>
      </c>
      <c r="BG318" s="3">
        <f>(((BE318-BF318)/1000)*0.000001)*M$7</f>
        <v>0</v>
      </c>
      <c r="BH318" s="2" t="s">
        <v>64</v>
      </c>
      <c r="BI318" s="2"/>
      <c r="BL318" s="2" t="s">
        <v>64</v>
      </c>
      <c r="BM318" s="2"/>
    </row>
    <row r="319" spans="6:65" hidden="1">
      <c r="F319" s="2">
        <v>2</v>
      </c>
      <c r="G319" s="3" t="s">
        <v>151</v>
      </c>
      <c r="H319" s="3"/>
      <c r="I319" s="3" t="str">
        <f>IF(N250=1, 0.0384, IF(N250=2, 0.129, IF(N250=3, 0.061, IF(N250=4, 0.0566, IF(N250=5, 0.0106, IF(N250=6, 0.0106, IF(N250=7, 0.0005, IF(N250=8, 0.0005,""))))))))</f>
        <v/>
      </c>
      <c r="J319" s="3" t="str">
        <f>IF((J$9=G319),F319,"")</f>
        <v/>
      </c>
      <c r="K319" s="3" t="str">
        <f>IFERROR(SMALL(J$318:J$322,F319),"")</f>
        <v/>
      </c>
      <c r="L319" s="3">
        <v>101</v>
      </c>
      <c r="M319" s="3" t="b">
        <f>IF(K$318=F319,J$13*I319*23713)</f>
        <v>0</v>
      </c>
      <c r="N319" s="3" t="b">
        <f>IF(K$318=F319,J$14*I319*23713)</f>
        <v>0</v>
      </c>
      <c r="O319" s="3">
        <f>(((M319-N319)/1000)*0.000001)*J$7</f>
        <v>0</v>
      </c>
      <c r="P319" s="2" t="s">
        <v>64</v>
      </c>
      <c r="Q319" s="2"/>
      <c r="R319" s="2"/>
      <c r="S319" s="2"/>
      <c r="T319" s="2"/>
      <c r="V319" s="2">
        <v>2</v>
      </c>
      <c r="W319" s="3" t="s">
        <v>151</v>
      </c>
      <c r="X319" s="3"/>
      <c r="Y319" s="3" t="str">
        <f>IF(AD250=1, 0.0384, IF(AD250=2, 0.129, IF(AD250=3, 0.061, IF(AD250=4, 0.0566, IF(AD250=5, 0.0106, IF(AD250=6, 0.0106, IF(AD250=7, 0.0005, IF(AD250=8, 0.0005,""))))))))</f>
        <v/>
      </c>
      <c r="Z319" s="3" t="str">
        <f>IF((K$9=W319),V319,"")</f>
        <v/>
      </c>
      <c r="AA319" s="3" t="str">
        <f>IFERROR(SMALL(Z$318:Z$322,V319),"")</f>
        <v/>
      </c>
      <c r="AB319" s="3">
        <v>101</v>
      </c>
      <c r="AC319" s="3" t="b">
        <f>IF(AA$318=V319,K$13*Y319*23713)</f>
        <v>0</v>
      </c>
      <c r="AD319" s="3" t="b">
        <f>IF(AA$318=V319,K$14*Y319*23713)</f>
        <v>0</v>
      </c>
      <c r="AE319" s="3">
        <f>(((AC319-AD319)/1000)*0.000001)*K$7</f>
        <v>0</v>
      </c>
      <c r="AF319" s="2" t="s">
        <v>64</v>
      </c>
      <c r="AG319" s="2"/>
      <c r="AH319" s="2"/>
      <c r="AI319" s="2"/>
      <c r="AJ319" s="2">
        <v>2</v>
      </c>
      <c r="AK319" s="3" t="s">
        <v>151</v>
      </c>
      <c r="AL319" s="3"/>
      <c r="AM319" s="3" t="str">
        <f>IF(AR250=1, 0.0384, IF(AR250=2, 0.129, IF(AR250=3, 0.061, IF(AR250=4, 0.0566, IF(AR250=5, 0.0106, IF(AR250=6, 0.0106, IF(AR250=7, 0.0005, IF(AR250=8, 0.0005,""))))))))</f>
        <v/>
      </c>
      <c r="AN319" s="3" t="str">
        <f t="shared" ref="AN319:AN322" si="133">IF((L$9=AK319),AJ319,"")</f>
        <v/>
      </c>
      <c r="AO319" s="3" t="str">
        <f>IFERROR(SMALL(AN$318:AN$322,AJ319),"")</f>
        <v/>
      </c>
      <c r="AP319" s="3">
        <v>101</v>
      </c>
      <c r="AQ319" s="3" t="b">
        <f>IF(AO$318=AJ319,L$13*AM319*23713)</f>
        <v>0</v>
      </c>
      <c r="AR319" s="3" t="b">
        <f>IF(AO$318=AJ319,L$14*AM319*23713)</f>
        <v>0</v>
      </c>
      <c r="AS319" s="3">
        <f>(((AQ319-AR319)/1000)*0.000001)*L$7</f>
        <v>0</v>
      </c>
      <c r="AT319" s="2" t="s">
        <v>64</v>
      </c>
      <c r="AU319" s="2"/>
      <c r="AV319" s="2"/>
      <c r="AX319" s="2">
        <v>2</v>
      </c>
      <c r="AY319" s="3" t="s">
        <v>151</v>
      </c>
      <c r="AZ319" s="3"/>
      <c r="BA319" s="3" t="str">
        <f>IF(BF250=1, 0.0384, IF(BF250=2, 0.129, IF(BF250=3, 0.061, IF(BF250=4, 0.0566, IF(BF250=5, 0.0106, IF(BF250=6, 0.0106, IF(BF250=7, 0.0005, IF(BF250=8, 0.0005,""))))))))</f>
        <v/>
      </c>
      <c r="BB319" s="3" t="str">
        <f t="shared" ref="BB319:BB322" si="134">IF((M$9=AY319),AX319,"")</f>
        <v/>
      </c>
      <c r="BC319" s="3" t="str">
        <f>IFERROR(SMALL(BB$318:BB$322,AX319),"")</f>
        <v/>
      </c>
      <c r="BD319" s="3">
        <v>101</v>
      </c>
      <c r="BE319" s="3" t="b">
        <f>IF(BC$318=AX319,M$13*BA319*23713)</f>
        <v>0</v>
      </c>
      <c r="BF319" s="3" t="b">
        <f>IF(BC$318=AX319,M$14*BA319*23713)</f>
        <v>0</v>
      </c>
      <c r="BG319" s="3">
        <f>(((BE319-BF319)/1000)*0.000001)*M$7</f>
        <v>0</v>
      </c>
      <c r="BH319" s="2" t="s">
        <v>64</v>
      </c>
      <c r="BI319" s="2"/>
      <c r="BL319" s="2" t="s">
        <v>64</v>
      </c>
      <c r="BM319" s="2"/>
    </row>
    <row r="320" spans="6:65" hidden="1">
      <c r="F320" s="2">
        <v>3</v>
      </c>
      <c r="G320" s="3" t="s">
        <v>152</v>
      </c>
      <c r="H320" s="3"/>
      <c r="I320" s="3" t="str">
        <f>IF(N250=1,0.0698, IF(N250=2, 0.201, IF(N250=3, 0.104, IF(N250=4, 0.0881, IF(N250=5, 0.0161, IF(N250=6, 0.0161, IF(N250=7, 0.0008, IF(N250=8, 0.0008,""))))))))</f>
        <v/>
      </c>
      <c r="J320" s="3" t="str">
        <f>IF((J$9=G320),F320,"")</f>
        <v/>
      </c>
      <c r="K320" s="3" t="str">
        <f>IFERROR(SMALL(J$318:J$322,F320),"")</f>
        <v/>
      </c>
      <c r="L320" s="3">
        <v>155</v>
      </c>
      <c r="M320" s="3" t="b">
        <f>IF(K$318=F320,J$13*I320*39994)</f>
        <v>0</v>
      </c>
      <c r="N320" s="3" t="b">
        <f>IF(K$318=F320,J$14*I320*39994)</f>
        <v>0</v>
      </c>
      <c r="O320" s="3">
        <f>(((M320-N320)/1000)*0.000001)*J$7</f>
        <v>0</v>
      </c>
      <c r="P320" s="2" t="s">
        <v>64</v>
      </c>
      <c r="Q320" s="2"/>
      <c r="R320" s="2"/>
      <c r="S320" s="2"/>
      <c r="T320" s="2"/>
      <c r="V320" s="2">
        <v>3</v>
      </c>
      <c r="W320" s="3" t="s">
        <v>152</v>
      </c>
      <c r="X320" s="3"/>
      <c r="Y320" s="3" t="str">
        <f>IF(AD250=1,0.0698, IF(AD250=2, 0.201, IF(AD250=3, 0.104, IF(AD250=4, 0.0881, IF(AD250=5, 0.0161, IF(AD250=6, 0.0161, IF(AD250=7, 0.0008, IF(AD250=8, 0.0008,""))))))))</f>
        <v/>
      </c>
      <c r="Z320" s="3" t="str">
        <f>IF((K$9=W320),V320,"")</f>
        <v/>
      </c>
      <c r="AA320" s="3" t="str">
        <f>IFERROR(SMALL(Z$318:Z$322,V320),"")</f>
        <v/>
      </c>
      <c r="AB320" s="3">
        <v>155</v>
      </c>
      <c r="AC320" s="3" t="b">
        <f>IF(AA$318=V320,K$13*Y320*39994)</f>
        <v>0</v>
      </c>
      <c r="AD320" s="3" t="b">
        <f>IF(AA$318=V320,K$14*Y320*39994)</f>
        <v>0</v>
      </c>
      <c r="AE320" s="3">
        <f>(((AC320-AD320)/1000)*0.000001)*K$7</f>
        <v>0</v>
      </c>
      <c r="AF320" s="2" t="s">
        <v>64</v>
      </c>
      <c r="AG320" s="2"/>
      <c r="AH320" s="2"/>
      <c r="AI320" s="2"/>
      <c r="AJ320" s="2">
        <v>3</v>
      </c>
      <c r="AK320" s="3" t="s">
        <v>152</v>
      </c>
      <c r="AL320" s="3"/>
      <c r="AM320" s="3" t="str">
        <f>IF(AR250=1,0.0698, IF(AR250=2, 0.201, IF(AR250=3, 0.104, IF(AR250=4, 0.0881, IF(AR250=5, 0.0161, IF(AR250=6, 0.0161, IF(AR250=7, 0.0008, IF(AR250=8, 0.0008,""))))))))</f>
        <v/>
      </c>
      <c r="AN320" s="3" t="str">
        <f t="shared" si="133"/>
        <v/>
      </c>
      <c r="AO320" s="3" t="str">
        <f>IFERROR(SMALL(AN$318:AN$322,AJ320),"")</f>
        <v/>
      </c>
      <c r="AP320" s="3">
        <v>155</v>
      </c>
      <c r="AQ320" s="3" t="b">
        <f>IF(AO$318=AJ320,L$13*AM320*39994)</f>
        <v>0</v>
      </c>
      <c r="AR320" s="3" t="b">
        <f>IF(AO$318=AJ320,L$14*AM320*39994)</f>
        <v>0</v>
      </c>
      <c r="AS320" s="3">
        <f>(((AQ320-AR320)/1000)*0.000001)*L$7</f>
        <v>0</v>
      </c>
      <c r="AT320" s="2" t="s">
        <v>64</v>
      </c>
      <c r="AU320" s="2"/>
      <c r="AV320" s="2"/>
      <c r="AX320" s="2">
        <v>3</v>
      </c>
      <c r="AY320" s="3" t="s">
        <v>152</v>
      </c>
      <c r="AZ320" s="3"/>
      <c r="BA320" s="3" t="str">
        <f>IF(BF250=1,0.0698, IF(BF250=2, 0.201, IF(BF250=3, 0.104, IF(BF250=4, 0.0881, IF(BF250=5, 0.0161, IF(BF250=6, 0.0161, IF(BF250=7, 0.0008, IF(BF250=8, 0.0008,""))))))))</f>
        <v/>
      </c>
      <c r="BB320" s="3" t="str">
        <f t="shared" si="134"/>
        <v/>
      </c>
      <c r="BC320" s="3" t="str">
        <f>IFERROR(SMALL(BB$318:BB$322,AX320),"")</f>
        <v/>
      </c>
      <c r="BD320" s="3">
        <v>155</v>
      </c>
      <c r="BE320" s="3" t="b">
        <f>IF(BC$318=AX320,M$13*BA320*39994)</f>
        <v>0</v>
      </c>
      <c r="BF320" s="3" t="b">
        <f>IF(BC$318=AX320,M$14*BA320*39994)</f>
        <v>0</v>
      </c>
      <c r="BG320" s="3">
        <f>(((BE320-BF320)/1000)*0.000001)*M$7</f>
        <v>0</v>
      </c>
      <c r="BH320" s="2" t="s">
        <v>64</v>
      </c>
      <c r="BI320" s="2"/>
      <c r="BL320" s="2" t="s">
        <v>64</v>
      </c>
      <c r="BM320" s="2"/>
    </row>
    <row r="321" spans="6:65" hidden="1">
      <c r="F321" s="2">
        <v>4</v>
      </c>
      <c r="G321" s="3" t="s">
        <v>153</v>
      </c>
      <c r="H321" s="3"/>
      <c r="I321" s="3" t="str">
        <f>IF(N250=1,0.09031, IF(N250=2,0.297, IF(N250=3,0.155, IF(N250=4, 0.13, IF(N250=5, 0.0239, IF(N250=6, 0.0239, IF(N250=7, 0.0012, IF(N250=8, 0.0012,""))))))))</f>
        <v/>
      </c>
      <c r="J321" s="3" t="str">
        <f>IF((J$9=G321),F321,"")</f>
        <v/>
      </c>
      <c r="K321" s="3" t="str">
        <f>IFERROR(SMALL(J$318:J$322,F321),"")</f>
        <v/>
      </c>
      <c r="L321" s="3">
        <v>210</v>
      </c>
      <c r="M321" s="3" t="b">
        <f>IF(K$318=F321,J$13*I321*56275)</f>
        <v>0</v>
      </c>
      <c r="N321" s="3" t="b">
        <f>IF(K$318=F321,J$14*I321*56275)</f>
        <v>0</v>
      </c>
      <c r="O321" s="3">
        <f>(((M321-N321)/1000)*0.000001)*J$7</f>
        <v>0</v>
      </c>
      <c r="P321" s="2" t="s">
        <v>64</v>
      </c>
      <c r="Q321" s="2"/>
      <c r="R321" s="2"/>
      <c r="S321" s="2"/>
      <c r="T321" s="2"/>
      <c r="V321" s="2">
        <v>4</v>
      </c>
      <c r="W321" s="3" t="s">
        <v>153</v>
      </c>
      <c r="X321" s="3"/>
      <c r="Y321" s="3" t="str">
        <f>IF(AD250=1,0.09031, IF(AD250=2,0.297, IF(AD250=3,0.155, IF(AD250=4, 0.13, IF(AD250=5, 0.0239, IF(AD250=6, 0.0239, IF(AD250=7, 0.0012, IF(AD250=8, 0.0012,""))))))))</f>
        <v/>
      </c>
      <c r="Z321" s="3" t="str">
        <f>IF((K$9=W321),V321,"")</f>
        <v/>
      </c>
      <c r="AA321" s="3" t="str">
        <f>IFERROR(SMALL(Z$318:Z$322,V321),"")</f>
        <v/>
      </c>
      <c r="AB321" s="3">
        <v>210</v>
      </c>
      <c r="AC321" s="3" t="b">
        <f>IF(AA$318=V321,K$13*Y321*56275)</f>
        <v>0</v>
      </c>
      <c r="AD321" s="3" t="b">
        <f>IF(AA$318=V321,K$14*Y321*56275)</f>
        <v>0</v>
      </c>
      <c r="AE321" s="3">
        <f>(((AC321-AD321)/1000)*0.000001)*K$7</f>
        <v>0</v>
      </c>
      <c r="AF321" s="2" t="s">
        <v>64</v>
      </c>
      <c r="AG321" s="2"/>
      <c r="AH321" s="2"/>
      <c r="AI321" s="2"/>
      <c r="AJ321" s="2">
        <v>4</v>
      </c>
      <c r="AK321" s="3" t="s">
        <v>153</v>
      </c>
      <c r="AL321" s="3"/>
      <c r="AM321" s="3" t="str">
        <f>IF(AR250=1,0.09031, IF(AR250=2,0.297, IF(AR250=3,0.155, IF(AR250=4, 0.13, IF(AR250=5, 0.0239, IF(AR250=6, 0.0239, IF(AR250=7, 0.0012, IF(AR250=8, 0.0012,""))))))))</f>
        <v/>
      </c>
      <c r="AN321" s="3" t="str">
        <f t="shared" si="133"/>
        <v/>
      </c>
      <c r="AO321" s="3" t="str">
        <f>IFERROR(SMALL(AN$318:AN$322,AJ321),"")</f>
        <v/>
      </c>
      <c r="AP321" s="3">
        <v>210</v>
      </c>
      <c r="AQ321" s="3" t="b">
        <f>IF(AO$318=AJ321,L$13*AM321*56275)</f>
        <v>0</v>
      </c>
      <c r="AR321" s="3" t="b">
        <f>IF(AO$318=AJ321,L$14*AM321*56275)</f>
        <v>0</v>
      </c>
      <c r="AS321" s="3">
        <f>(((AQ321-AR321)/1000)*0.000001)*L$7</f>
        <v>0</v>
      </c>
      <c r="AT321" s="2" t="s">
        <v>64</v>
      </c>
      <c r="AU321" s="2"/>
      <c r="AV321" s="2"/>
      <c r="AX321" s="2">
        <v>4</v>
      </c>
      <c r="AY321" s="3" t="s">
        <v>153</v>
      </c>
      <c r="AZ321" s="3"/>
      <c r="BA321" s="3" t="str">
        <f>IF(BF250=1,0.09031, IF(BF250=2,0.297, IF(BF250=3,0.155, IF(BF250=4, 0.13, IF(BF250=5, 0.0239, IF(BF250=6, 0.0239, IF(BF250=7, 0.0012, IF(BF250=8, 0.0012,""))))))))</f>
        <v/>
      </c>
      <c r="BB321" s="3" t="str">
        <f t="shared" si="134"/>
        <v/>
      </c>
      <c r="BC321" s="3" t="str">
        <f>IFERROR(SMALL(BB$318:BB$322,AX321),"")</f>
        <v/>
      </c>
      <c r="BD321" s="3">
        <v>210</v>
      </c>
      <c r="BE321" s="3" t="b">
        <f>IF(BC$318=AX321,M$13*BA321*56275)</f>
        <v>0</v>
      </c>
      <c r="BF321" s="3" t="b">
        <f>IF(BC$318=AX321,M$14*BA321*56275)</f>
        <v>0</v>
      </c>
      <c r="BG321" s="3">
        <f>(((BE321-BF321)/1000)*0.000001)*M$7</f>
        <v>0</v>
      </c>
      <c r="BH321" s="2" t="s">
        <v>64</v>
      </c>
      <c r="BI321" s="2"/>
      <c r="BL321" s="2" t="s">
        <v>64</v>
      </c>
      <c r="BM321" s="2"/>
    </row>
    <row r="322" spans="6:65" hidden="1">
      <c r="F322" s="2">
        <v>5</v>
      </c>
      <c r="G322" s="3" t="s">
        <v>154</v>
      </c>
      <c r="H322" s="3"/>
      <c r="I322" s="3" t="str">
        <f>IF(N250=1,0.10845, IF(N250=2, 0.358, IF(N250=3, 0.194, IF(N250=4, 0.151, IF(N250=5, 0.0268, IF(N250=6, 0.0268, IF(N250=7, 0.0013, IF(N250=8, 0.0013,""))))))))</f>
        <v/>
      </c>
      <c r="J322" s="3" t="str">
        <f>IF((J$9=G322),F322,"")</f>
        <v/>
      </c>
      <c r="K322" s="3" t="str">
        <f>IFERROR(SMALL(J$318:J$322,F322),"")</f>
        <v/>
      </c>
      <c r="L322" s="3">
        <v>251</v>
      </c>
      <c r="M322" s="3" t="b">
        <f>IF(K$318=F322,J$13*I322*56275)</f>
        <v>0</v>
      </c>
      <c r="N322" s="3" t="b">
        <f>IF(K$318=F322,J$14*I322*56275)</f>
        <v>0</v>
      </c>
      <c r="O322" s="3">
        <f>(((M322-N322)/1000)*0.000001)*J$7</f>
        <v>0</v>
      </c>
      <c r="P322" s="2" t="s">
        <v>64</v>
      </c>
      <c r="Q322" s="2"/>
      <c r="R322" s="2"/>
      <c r="S322" s="2"/>
      <c r="T322" s="2"/>
      <c r="V322" s="2">
        <v>5</v>
      </c>
      <c r="W322" s="3" t="s">
        <v>154</v>
      </c>
      <c r="X322" s="3"/>
      <c r="Y322" s="3" t="str">
        <f>IF(AD250=1,0.10845, IF(AD250=2, 0.358, IF(AD250=3, 0.194, IF(AD250=4, 0.151, IF(AD250=5, 0.0268, IF(AD250=6, 0.0268, IF(AD250=7, 0.0013, IF(AD250=8, 0.0013,""))))))))</f>
        <v/>
      </c>
      <c r="Z322" s="3" t="str">
        <f>IF((K$9=W322),V322,"")</f>
        <v/>
      </c>
      <c r="AA322" s="3" t="str">
        <f>IFERROR(SMALL(Z$318:Z$322,V322),"")</f>
        <v/>
      </c>
      <c r="AB322" s="3">
        <v>251</v>
      </c>
      <c r="AC322" s="3" t="b">
        <f>IF(AA$318=V322,K$13*Y322*56275)</f>
        <v>0</v>
      </c>
      <c r="AD322" s="3" t="b">
        <f>IF(AA$318=V322,K$14*Y322*56275)</f>
        <v>0</v>
      </c>
      <c r="AE322" s="3">
        <f>(((AC322-AD322)/1000)*0.000001)*K$7</f>
        <v>0</v>
      </c>
      <c r="AF322" s="2" t="s">
        <v>64</v>
      </c>
      <c r="AG322" s="2"/>
      <c r="AH322" s="2"/>
      <c r="AI322" s="2"/>
      <c r="AJ322" s="2">
        <v>5</v>
      </c>
      <c r="AK322" s="3" t="s">
        <v>154</v>
      </c>
      <c r="AL322" s="3"/>
      <c r="AM322" s="3" t="str">
        <f>IF(AR250=1,0.10845, IF(AR250=2, 0.358, IF(AR250=3, 0.194, IF(AR250=4, 0.151, IF(AR250=5, 0.0268, IF(AR250=6, 0.0268, IF(AR250=7, 0.0013, IF(AR250=8, 0.0013,""))))))))</f>
        <v/>
      </c>
      <c r="AN322" s="3" t="str">
        <f t="shared" si="133"/>
        <v/>
      </c>
      <c r="AO322" s="3" t="str">
        <f>IFERROR(SMALL(AN$318:AN$322,AJ322),"")</f>
        <v/>
      </c>
      <c r="AP322" s="3">
        <v>251</v>
      </c>
      <c r="AQ322" s="3" t="b">
        <f>IF(AO$318=AJ322,L$13*AM322*56275)</f>
        <v>0</v>
      </c>
      <c r="AR322" s="3" t="b">
        <f>IF(AO$318=AJ322,L$14*AM322*56275)</f>
        <v>0</v>
      </c>
      <c r="AS322" s="3">
        <f>(((AQ322-AR322)/1000)*0.000001)*L$7</f>
        <v>0</v>
      </c>
      <c r="AT322" s="2" t="s">
        <v>64</v>
      </c>
      <c r="AU322" s="2"/>
      <c r="AV322" s="2"/>
      <c r="AX322" s="2">
        <v>5</v>
      </c>
      <c r="AY322" s="3" t="s">
        <v>154</v>
      </c>
      <c r="AZ322" s="3"/>
      <c r="BA322" s="3" t="str">
        <f>IF(BF250=1,0.10845, IF(BF250=2, 0.358, IF(BF250=3, 0.194, IF(BF250=4, 0.151, IF(BF250=5, 0.0268, IF(BF250=6, 0.0268, IF(BF250=7, 0.0013, IF(BF250=8, 0.0013,""))))))))</f>
        <v/>
      </c>
      <c r="BB322" s="3" t="str">
        <f t="shared" si="134"/>
        <v/>
      </c>
      <c r="BC322" s="3" t="str">
        <f>IFERROR(SMALL(BB$318:BB$322,AX322),"")</f>
        <v/>
      </c>
      <c r="BD322" s="3">
        <v>251</v>
      </c>
      <c r="BE322" s="3" t="b">
        <f>IF(BC$318=AX322,M$13*BA322*56275)</f>
        <v>0</v>
      </c>
      <c r="BF322" s="3" t="b">
        <f>IF(BC$318=AX322,M$14*BA322*56275)</f>
        <v>0</v>
      </c>
      <c r="BG322" s="3">
        <f>(((BE322-BF322)/1000)*0.000001)*M$7</f>
        <v>0</v>
      </c>
      <c r="BH322" s="2" t="s">
        <v>64</v>
      </c>
      <c r="BI322" s="2"/>
      <c r="BL322" s="2" t="s">
        <v>64</v>
      </c>
      <c r="BM322" s="2"/>
    </row>
    <row r="323" spans="6:65" hidden="1">
      <c r="F323" s="2"/>
      <c r="G323" s="2"/>
      <c r="H323" s="2"/>
      <c r="I323" s="2"/>
      <c r="J323" s="2"/>
      <c r="K323" s="2"/>
      <c r="L323" s="2"/>
      <c r="M323" s="2"/>
      <c r="N323" s="2"/>
      <c r="O323" s="2"/>
      <c r="P323" s="2"/>
      <c r="Q323" s="2"/>
      <c r="R323" s="2"/>
      <c r="S323" s="2"/>
      <c r="T323" s="2"/>
      <c r="V323" s="2"/>
      <c r="W323" s="2"/>
      <c r="X323" s="2"/>
      <c r="Y323" s="2"/>
      <c r="Z323" s="2"/>
      <c r="AA323" s="2"/>
      <c r="AB323" s="2"/>
      <c r="AC323" s="2"/>
      <c r="AD323" s="2"/>
      <c r="AE323" s="2"/>
      <c r="AF323" s="2"/>
      <c r="AG323" s="2"/>
      <c r="AH323" s="2"/>
      <c r="AI323" s="2"/>
      <c r="AJ323" s="2"/>
      <c r="AK323" s="2"/>
      <c r="AL323" s="2"/>
      <c r="AM323" s="2"/>
      <c r="AN323" s="2"/>
      <c r="AO323" s="2"/>
      <c r="AP323" s="2"/>
      <c r="AQ323" s="2"/>
      <c r="AR323" s="2"/>
      <c r="AS323" s="2"/>
      <c r="AT323" s="2"/>
      <c r="AU323" s="2"/>
      <c r="AV323" s="2"/>
      <c r="AX323" s="2"/>
      <c r="AY323" s="2"/>
      <c r="AZ323" s="2"/>
      <c r="BA323" s="2"/>
      <c r="BB323" s="2"/>
      <c r="BC323" s="2"/>
      <c r="BD323" s="2"/>
      <c r="BE323" s="2"/>
      <c r="BF323" s="2"/>
      <c r="BG323" s="2"/>
      <c r="BH323" s="2"/>
      <c r="BI323" s="2"/>
      <c r="BL323" s="2"/>
      <c r="BM323" s="2"/>
    </row>
    <row r="324" spans="6:65" s="123" customFormat="1" hidden="1">
      <c r="F324" s="126"/>
      <c r="G324" s="126"/>
      <c r="H324" s="126"/>
      <c r="I324" s="127" t="s">
        <v>71</v>
      </c>
      <c r="J324" s="126" t="s">
        <v>58</v>
      </c>
      <c r="K324" s="126" t="s">
        <v>58</v>
      </c>
      <c r="L324" s="127" t="s">
        <v>59</v>
      </c>
      <c r="M324" s="126" t="s">
        <v>60</v>
      </c>
      <c r="N324" s="126" t="s">
        <v>61</v>
      </c>
      <c r="O324" s="126" t="s">
        <v>62</v>
      </c>
      <c r="P324" s="126"/>
      <c r="Q324" s="126"/>
      <c r="R324" s="126"/>
      <c r="S324" s="126"/>
      <c r="T324" s="126"/>
      <c r="V324" s="126"/>
      <c r="W324" s="126"/>
      <c r="X324" s="126"/>
      <c r="Y324" s="127" t="s">
        <v>71</v>
      </c>
      <c r="Z324" s="126" t="s">
        <v>58</v>
      </c>
      <c r="AA324" s="126" t="s">
        <v>58</v>
      </c>
      <c r="AB324" s="127" t="s">
        <v>59</v>
      </c>
      <c r="AC324" s="126" t="s">
        <v>60</v>
      </c>
      <c r="AD324" s="126" t="s">
        <v>61</v>
      </c>
      <c r="AE324" s="126" t="s">
        <v>62</v>
      </c>
      <c r="AF324" s="126"/>
      <c r="AG324" s="126"/>
      <c r="AH324" s="126"/>
      <c r="AI324" s="126"/>
      <c r="AJ324" s="126"/>
      <c r="AK324" s="126"/>
      <c r="AL324" s="126"/>
      <c r="AM324" s="127" t="s">
        <v>71</v>
      </c>
      <c r="AN324" s="126" t="s">
        <v>58</v>
      </c>
      <c r="AO324" s="126" t="s">
        <v>58</v>
      </c>
      <c r="AP324" s="127" t="s">
        <v>59</v>
      </c>
      <c r="AQ324" s="126" t="s">
        <v>60</v>
      </c>
      <c r="AR324" s="126" t="s">
        <v>61</v>
      </c>
      <c r="AS324" s="126" t="s">
        <v>62</v>
      </c>
      <c r="AT324" s="126"/>
      <c r="AU324" s="126"/>
      <c r="AV324" s="126"/>
      <c r="AX324" s="126"/>
      <c r="AY324" s="126"/>
      <c r="AZ324" s="126"/>
      <c r="BA324" s="127" t="s">
        <v>71</v>
      </c>
      <c r="BB324" s="126" t="s">
        <v>58</v>
      </c>
      <c r="BC324" s="126" t="s">
        <v>58</v>
      </c>
      <c r="BD324" s="127" t="s">
        <v>59</v>
      </c>
      <c r="BE324" s="126" t="s">
        <v>60</v>
      </c>
      <c r="BF324" s="126" t="s">
        <v>61</v>
      </c>
      <c r="BG324" s="126" t="s">
        <v>62</v>
      </c>
      <c r="BH324" s="126"/>
      <c r="BI324" s="126"/>
      <c r="BL324" s="126"/>
      <c r="BM324" s="126"/>
    </row>
    <row r="325" spans="6:65" s="123" customFormat="1" hidden="1">
      <c r="F325" s="126">
        <v>1</v>
      </c>
      <c r="G325" s="128" t="s">
        <v>83</v>
      </c>
      <c r="H325" s="128"/>
      <c r="I325" s="128" t="str">
        <f>IF(I260=1,0,"")</f>
        <v/>
      </c>
      <c r="J325" s="128" t="str">
        <f>IF((J$11=G325),F325,"")</f>
        <v/>
      </c>
      <c r="K325" s="128" t="str">
        <f>IFERROR(SMALL(J$325:J$329,F325),"")</f>
        <v/>
      </c>
      <c r="L325" s="128">
        <v>177</v>
      </c>
      <c r="M325" s="3" t="b">
        <f>IF(K$325=F325,J$13*I325*4281)</f>
        <v>0</v>
      </c>
      <c r="N325" s="3" t="b">
        <f>IF(K$325=F325,J$14*I325*4281)</f>
        <v>0</v>
      </c>
      <c r="O325" s="3">
        <f>(((M325-N325)/1000)*0.000001)*J$7</f>
        <v>0</v>
      </c>
      <c r="P325" s="126" t="s">
        <v>64</v>
      </c>
      <c r="Q325" s="126"/>
      <c r="R325" s="126"/>
      <c r="S325" s="126"/>
      <c r="T325" s="126"/>
      <c r="V325" s="126">
        <v>1</v>
      </c>
      <c r="W325" s="128" t="s">
        <v>83</v>
      </c>
      <c r="X325" s="128"/>
      <c r="Y325" s="128" t="str">
        <f>IF(Y260=1,0,"")</f>
        <v/>
      </c>
      <c r="Z325" s="128" t="str">
        <f>IF((K$11=W325),V325,"")</f>
        <v/>
      </c>
      <c r="AA325" s="128" t="str">
        <f>IFERROR(SMALL(Z$325:Z$329,V325),"")</f>
        <v/>
      </c>
      <c r="AB325" s="128">
        <v>177</v>
      </c>
      <c r="AC325" s="3" t="b">
        <f>IF(AA$325=V325,K$13*Y325*4281)</f>
        <v>0</v>
      </c>
      <c r="AD325" s="3" t="b">
        <f>IF(AA$325=V325,K$14*Y325*4281)</f>
        <v>0</v>
      </c>
      <c r="AE325" s="3">
        <f>(((AC325-AD325)/1000)*0.000001)*K$7</f>
        <v>0</v>
      </c>
      <c r="AF325" s="126" t="s">
        <v>64</v>
      </c>
      <c r="AG325" s="126"/>
      <c r="AH325" s="126"/>
      <c r="AI325" s="126"/>
      <c r="AJ325" s="126">
        <v>1</v>
      </c>
      <c r="AK325" s="128" t="s">
        <v>83</v>
      </c>
      <c r="AL325" s="128"/>
      <c r="AM325" s="128" t="str">
        <f>IF(AM260=1,0,"")</f>
        <v/>
      </c>
      <c r="AN325" s="128" t="str">
        <f>IF((L$11=AK325),AJ325,"")</f>
        <v/>
      </c>
      <c r="AO325" s="128" t="str">
        <f>IFERROR(SMALL(AN$325:AN$329,AJ325),"")</f>
        <v/>
      </c>
      <c r="AP325" s="128">
        <v>177</v>
      </c>
      <c r="AQ325" s="3" t="b">
        <f>IF(AO$325=AJ325,L$13*AM325*4281)</f>
        <v>0</v>
      </c>
      <c r="AR325" s="3" t="b">
        <f>IF(AO$325=AJ325,L$14*AM325*4281)</f>
        <v>0</v>
      </c>
      <c r="AS325" s="3">
        <f>(((AQ325-AR325)/1000)*0.000001)*L$7</f>
        <v>0</v>
      </c>
      <c r="AT325" s="126" t="s">
        <v>64</v>
      </c>
      <c r="AU325" s="126"/>
      <c r="AV325" s="126"/>
      <c r="AX325" s="126">
        <v>1</v>
      </c>
      <c r="AY325" s="128" t="s">
        <v>83</v>
      </c>
      <c r="AZ325" s="128"/>
      <c r="BA325" s="128" t="str">
        <f>IF(BA260=1,0,"")</f>
        <v/>
      </c>
      <c r="BB325" s="128" t="str">
        <f>IF((M$11=AY325),AX325,"")</f>
        <v/>
      </c>
      <c r="BC325" s="128" t="str">
        <f>IFERROR(SMALL(BB$325:BB$329,AX325),"")</f>
        <v/>
      </c>
      <c r="BD325" s="128">
        <v>177</v>
      </c>
      <c r="BE325" s="3" t="b">
        <f>IF(BC$325=AX325,M$13*BA325*4281)</f>
        <v>0</v>
      </c>
      <c r="BF325" s="3" t="b">
        <f>IF(BC$325=AX325,M$14*BA325*4281)</f>
        <v>0</v>
      </c>
      <c r="BG325" s="3">
        <f>(((BE325-BF325)/1000)*0.000001)*M$7</f>
        <v>0</v>
      </c>
      <c r="BH325" s="126" t="s">
        <v>64</v>
      </c>
      <c r="BI325" s="126"/>
      <c r="BL325" s="126" t="s">
        <v>64</v>
      </c>
      <c r="BM325" s="126"/>
    </row>
    <row r="326" spans="6:65" s="123" customFormat="1" hidden="1">
      <c r="F326" s="126">
        <v>2</v>
      </c>
      <c r="G326" s="128" t="s">
        <v>151</v>
      </c>
      <c r="H326" s="128"/>
      <c r="I326" s="128">
        <f>IF(N260=1, 0.0384, IF(N260=2, 0.129, IF(N260=3, 0.061, IF(N260=4, 0.0566, IF(N260=5, 0.0106, IF(N260=6, 0.0106, IF(N260=7, 0.0005, IF(N260=8, 0.0005,""))))))))</f>
        <v>3.8399999999999997E-2</v>
      </c>
      <c r="J326" s="128" t="str">
        <f t="shared" ref="J326:J329" si="135">IF((J$11=G326),F326,"")</f>
        <v/>
      </c>
      <c r="K326" s="128" t="str">
        <f>IFERROR(SMALL(J$325:J$329,F326),"")</f>
        <v/>
      </c>
      <c r="L326" s="128">
        <v>101</v>
      </c>
      <c r="M326" s="3" t="b">
        <f>IF(K$325=F326,J$13*I326*23713)</f>
        <v>0</v>
      </c>
      <c r="N326" s="3" t="b">
        <f>IF(K$325=F326,J$14*I326*23713)</f>
        <v>0</v>
      </c>
      <c r="O326" s="3">
        <f>(((M326-N326)/1000)*0.000001)*J$7</f>
        <v>0</v>
      </c>
      <c r="P326" s="126" t="s">
        <v>64</v>
      </c>
      <c r="Q326" s="126"/>
      <c r="R326" s="126"/>
      <c r="S326" s="126"/>
      <c r="T326" s="126"/>
      <c r="V326" s="126">
        <v>2</v>
      </c>
      <c r="W326" s="128" t="s">
        <v>151</v>
      </c>
      <c r="X326" s="128"/>
      <c r="Y326" s="128">
        <f>IF(AD260=1, 0.0384, IF(AD260=2, 0.129, IF(AD260=3, 0.061, IF(AD260=4, 0.0566, IF(AD260=5, 0.0106, IF(AD260=6, 0.0106, IF(AD260=7, 0.0005, IF(AD260=8, 0.0005,""))))))))</f>
        <v>3.8399999999999997E-2</v>
      </c>
      <c r="Z326" s="128" t="str">
        <f t="shared" ref="Z326:Z329" si="136">IF((K$11=W326),V326,"")</f>
        <v/>
      </c>
      <c r="AA326" s="128" t="str">
        <f t="shared" ref="AA326:AA329" si="137">IFERROR(SMALL(Z$325:Z$329,V326),"")</f>
        <v/>
      </c>
      <c r="AB326" s="128">
        <v>101</v>
      </c>
      <c r="AC326" s="3" t="b">
        <f>IF(AA$325=V326,K$13*Y326*23713)</f>
        <v>0</v>
      </c>
      <c r="AD326" s="3" t="b">
        <f>IF(AA$325=V326,K$14*Y326*23713)</f>
        <v>0</v>
      </c>
      <c r="AE326" s="3">
        <f>(((AC326-AD326)/1000)*0.000001)*K$7</f>
        <v>0</v>
      </c>
      <c r="AF326" s="126" t="s">
        <v>64</v>
      </c>
      <c r="AG326" s="126"/>
      <c r="AH326" s="126"/>
      <c r="AI326" s="126"/>
      <c r="AJ326" s="126">
        <v>2</v>
      </c>
      <c r="AK326" s="128" t="s">
        <v>151</v>
      </c>
      <c r="AL326" s="128"/>
      <c r="AM326" s="128">
        <f>IF(AR260=1, 0.0384, IF(AR260=2, 0.129, IF(AR260=3, 0.061, IF(AR260=4, 0.0566, IF(AR260=5, 0.0106, IF(AR260=6, 0.0106, IF(AR260=7, 0.0005, IF(AR260=8, 0.0005,""))))))))</f>
        <v>3.8399999999999997E-2</v>
      </c>
      <c r="AN326" s="128" t="str">
        <f t="shared" ref="AN326:AN329" si="138">IF((L$11=AK326),AJ326,"")</f>
        <v/>
      </c>
      <c r="AO326" s="128" t="str">
        <f t="shared" ref="AO326:AO329" si="139">IFERROR(SMALL(AN$325:AN$329,AJ326),"")</f>
        <v/>
      </c>
      <c r="AP326" s="128">
        <v>101</v>
      </c>
      <c r="AQ326" s="3" t="b">
        <f>IF(AO$325=AJ326,L$13*AM326*23713)</f>
        <v>0</v>
      </c>
      <c r="AR326" s="3" t="b">
        <f>IF(AO$325=AJ326,L$14*AM326*23713)</f>
        <v>0</v>
      </c>
      <c r="AS326" s="3">
        <f>(((AQ326-AR326)/1000)*0.000001)*L$7</f>
        <v>0</v>
      </c>
      <c r="AT326" s="126" t="s">
        <v>64</v>
      </c>
      <c r="AU326" s="126"/>
      <c r="AV326" s="126"/>
      <c r="AX326" s="126">
        <v>2</v>
      </c>
      <c r="AY326" s="128" t="s">
        <v>151</v>
      </c>
      <c r="AZ326" s="128"/>
      <c r="BA326" s="128">
        <f>IF(BF260=1, 0.0384, IF(BF260=2, 0.129, IF(BF260=3, 0.061, IF(BF260=4, 0.0566, IF(BF260=5, 0.0106, IF(BF260=6, 0.0106, IF(BF260=7, 0.0005, IF(BF260=8, 0.0005,""))))))))</f>
        <v>3.8399999999999997E-2</v>
      </c>
      <c r="BB326" s="128" t="str">
        <f t="shared" ref="BB326:BB329" si="140">IF((M$11=AY326),AX326,"")</f>
        <v/>
      </c>
      <c r="BC326" s="128" t="str">
        <f t="shared" ref="BC326:BC329" si="141">IFERROR(SMALL(BB$325:BB$329,AX326),"")</f>
        <v/>
      </c>
      <c r="BD326" s="128">
        <v>101</v>
      </c>
      <c r="BE326" s="3" t="b">
        <f>IF(BC$325=AX326,M$13*BA326*23713)</f>
        <v>0</v>
      </c>
      <c r="BF326" s="3" t="b">
        <f>IF(BC$325=AX326,M$14*BA326*23713)</f>
        <v>0</v>
      </c>
      <c r="BG326" s="3">
        <f t="shared" ref="BG326:BG329" si="142">(((BE326-BF326)/1000)*0.000001)*M$7</f>
        <v>0</v>
      </c>
      <c r="BH326" s="126" t="s">
        <v>64</v>
      </c>
      <c r="BI326" s="126"/>
      <c r="BL326" s="126" t="s">
        <v>64</v>
      </c>
      <c r="BM326" s="126"/>
    </row>
    <row r="327" spans="6:65" s="123" customFormat="1" hidden="1">
      <c r="F327" s="126">
        <v>3</v>
      </c>
      <c r="G327" s="128" t="s">
        <v>152</v>
      </c>
      <c r="H327" s="128"/>
      <c r="I327" s="128">
        <f>IF(N260=1,0.0698, IF(N260=2, 0.201, IF(N260=3, 0.104, IF(N260=4, 0.0881, IF(N260=5, 0.0161, IF(N260=6, 0.0161, IF(N260=7, 0.0008, IF(N260=8, 0.0008,""))))))))</f>
        <v>6.9800000000000001E-2</v>
      </c>
      <c r="J327" s="128" t="str">
        <f t="shared" si="135"/>
        <v/>
      </c>
      <c r="K327" s="128" t="str">
        <f t="shared" ref="K327:K329" si="143">IFERROR(SMALL(J$325:J$329,F327),"")</f>
        <v/>
      </c>
      <c r="L327" s="128">
        <v>155</v>
      </c>
      <c r="M327" s="3" t="b">
        <f>IF(K$325=F327,J$13*I327*39994)</f>
        <v>0</v>
      </c>
      <c r="N327" s="3" t="b">
        <f>IF(K$325=F327,J$14*I327*39994)</f>
        <v>0</v>
      </c>
      <c r="O327" s="3">
        <f>(((M327-N327)/1000)*0.000001)*J$7</f>
        <v>0</v>
      </c>
      <c r="P327" s="126" t="s">
        <v>64</v>
      </c>
      <c r="Q327" s="126"/>
      <c r="R327" s="126"/>
      <c r="S327" s="126"/>
      <c r="T327" s="126"/>
      <c r="V327" s="126">
        <v>3</v>
      </c>
      <c r="W327" s="128" t="s">
        <v>152</v>
      </c>
      <c r="X327" s="128"/>
      <c r="Y327" s="128">
        <f>IF(AD260=1,0.0698, IF(AD260=2, 0.201, IF(AD260=3, 0.104, IF(AD260=4, 0.0881, IF(AD260=5, 0.0161, IF(AD260=6, 0.0161, IF(AD260=7, 0.0008, IF(AD260=8, 0.0008,""))))))))</f>
        <v>6.9800000000000001E-2</v>
      </c>
      <c r="Z327" s="128" t="str">
        <f t="shared" si="136"/>
        <v/>
      </c>
      <c r="AA327" s="128" t="str">
        <f t="shared" si="137"/>
        <v/>
      </c>
      <c r="AB327" s="128">
        <v>155</v>
      </c>
      <c r="AC327" s="3" t="b">
        <f>IF(AA$325=V327,K$13*Y327*39994)</f>
        <v>0</v>
      </c>
      <c r="AD327" s="3" t="b">
        <f>IF(AA$325=V327,K$14*Y327*39994)</f>
        <v>0</v>
      </c>
      <c r="AE327" s="3">
        <f>(((AC327-AD327)/1000)*0.000001)*K$7</f>
        <v>0</v>
      </c>
      <c r="AF327" s="126" t="s">
        <v>64</v>
      </c>
      <c r="AG327" s="126"/>
      <c r="AH327" s="126"/>
      <c r="AI327" s="126"/>
      <c r="AJ327" s="126">
        <v>3</v>
      </c>
      <c r="AK327" s="128" t="s">
        <v>152</v>
      </c>
      <c r="AL327" s="128"/>
      <c r="AM327" s="128">
        <f>IF(AR260=1,0.0698, IF(AR260=2, 0.201, IF(AR260=3, 0.104, IF(AR260=4, 0.0881, IF(AR260=5, 0.0161, IF(AR260=6, 0.0161, IF(AR260=7, 0.0008, IF(AR260=8, 0.0008,""))))))))</f>
        <v>6.9800000000000001E-2</v>
      </c>
      <c r="AN327" s="128" t="str">
        <f t="shared" si="138"/>
        <v/>
      </c>
      <c r="AO327" s="128" t="str">
        <f t="shared" si="139"/>
        <v/>
      </c>
      <c r="AP327" s="128">
        <v>155</v>
      </c>
      <c r="AQ327" s="3" t="b">
        <f>IF(AO$325=AJ327,L$13*AM327*39994)</f>
        <v>0</v>
      </c>
      <c r="AR327" s="3" t="b">
        <f>IF(AO$325=AJ327,L$14*AM327*39994)</f>
        <v>0</v>
      </c>
      <c r="AS327" s="3">
        <f>(((AQ327-AR327)/1000)*0.000001)*L$7</f>
        <v>0</v>
      </c>
      <c r="AT327" s="126" t="s">
        <v>64</v>
      </c>
      <c r="AU327" s="126"/>
      <c r="AV327" s="126"/>
      <c r="AX327" s="126">
        <v>3</v>
      </c>
      <c r="AY327" s="128" t="s">
        <v>152</v>
      </c>
      <c r="AZ327" s="128"/>
      <c r="BA327" s="128">
        <f>IF(BF260=1,0.0698, IF(BF260=2, 0.201, IF(BF260=3, 0.104, IF(BF260=4, 0.0881, IF(BF260=5, 0.0161, IF(BF260=6, 0.0161, IF(BF260=7, 0.0008, IF(BF260=8, 0.0008,""))))))))</f>
        <v>6.9800000000000001E-2</v>
      </c>
      <c r="BB327" s="128" t="str">
        <f t="shared" si="140"/>
        <v/>
      </c>
      <c r="BC327" s="128" t="str">
        <f t="shared" si="141"/>
        <v/>
      </c>
      <c r="BD327" s="128">
        <v>155</v>
      </c>
      <c r="BE327" s="3" t="b">
        <f>IF(BC$325=AX327,M$13*BA327*39994)</f>
        <v>0</v>
      </c>
      <c r="BF327" s="3" t="b">
        <f>IF(BC$325=AX327,M$14*BA327*39994)</f>
        <v>0</v>
      </c>
      <c r="BG327" s="3">
        <f t="shared" si="142"/>
        <v>0</v>
      </c>
      <c r="BH327" s="126" t="s">
        <v>64</v>
      </c>
      <c r="BI327" s="126"/>
      <c r="BL327" s="126" t="s">
        <v>64</v>
      </c>
      <c r="BM327" s="126"/>
    </row>
    <row r="328" spans="6:65" s="123" customFormat="1" hidden="1">
      <c r="F328" s="126">
        <v>4</v>
      </c>
      <c r="G328" s="128" t="s">
        <v>153</v>
      </c>
      <c r="H328" s="128"/>
      <c r="I328" s="128">
        <f>IF(N260=1,0.09031, IF(N260=2,0.297, IF(N260=3,0.155, IF(N260=4, 0.13, IF(N260=5, 0.0239, IF(N260=6, 0.0239, IF(N260=7, 0.0012, IF(N260=8, 0.0012,""))))))))</f>
        <v>9.0310000000000001E-2</v>
      </c>
      <c r="J328" s="128" t="str">
        <f t="shared" si="135"/>
        <v/>
      </c>
      <c r="K328" s="128" t="str">
        <f t="shared" si="143"/>
        <v/>
      </c>
      <c r="L328" s="128">
        <v>210</v>
      </c>
      <c r="M328" s="3" t="b">
        <f>IF(K$325=F328,J$13*I328*56275)</f>
        <v>0</v>
      </c>
      <c r="N328" s="3" t="b">
        <f>IF(K$325=F328,J$14*I328*56275)</f>
        <v>0</v>
      </c>
      <c r="O328" s="3">
        <f>(((M328-N328)/1000)*0.000001)*J$7</f>
        <v>0</v>
      </c>
      <c r="P328" s="126" t="s">
        <v>64</v>
      </c>
      <c r="Q328" s="126"/>
      <c r="R328" s="126"/>
      <c r="S328" s="126"/>
      <c r="T328" s="126"/>
      <c r="V328" s="126">
        <v>4</v>
      </c>
      <c r="W328" s="128" t="s">
        <v>153</v>
      </c>
      <c r="X328" s="128"/>
      <c r="Y328" s="128">
        <f>IF(AD260=1,0.09031, IF(AD260=2,0.297, IF(AD260=3,0.155, IF(AD260=4, 0.13, IF(AD260=5, 0.0239, IF(AD260=6, 0.0239, IF(AD260=7, 0.0012, IF(AD260=8, 0.0012,""))))))))</f>
        <v>9.0310000000000001E-2</v>
      </c>
      <c r="Z328" s="128" t="str">
        <f t="shared" si="136"/>
        <v/>
      </c>
      <c r="AA328" s="128" t="str">
        <f t="shared" si="137"/>
        <v/>
      </c>
      <c r="AB328" s="128">
        <v>210</v>
      </c>
      <c r="AC328" s="3" t="b">
        <f>IF(AA$325=V328,K$13*Y328*56275)</f>
        <v>0</v>
      </c>
      <c r="AD328" s="3" t="b">
        <f>IF(AA$325=V328,K$14*Y328*56275)</f>
        <v>0</v>
      </c>
      <c r="AE328" s="3">
        <f>(((AC328-AD328)/1000)*0.000001)*K$7</f>
        <v>0</v>
      </c>
      <c r="AF328" s="126" t="s">
        <v>64</v>
      </c>
      <c r="AG328" s="126"/>
      <c r="AH328" s="126"/>
      <c r="AI328" s="126"/>
      <c r="AJ328" s="126">
        <v>4</v>
      </c>
      <c r="AK328" s="128" t="s">
        <v>153</v>
      </c>
      <c r="AL328" s="128"/>
      <c r="AM328" s="128">
        <f>IF(AR260=1,0.09031, IF(AR260=2,0.297, IF(AR260=3,0.155, IF(AR260=4, 0.13, IF(AR260=5, 0.0239, IF(AR260=6, 0.0239, IF(AR260=7, 0.0012, IF(AR260=8, 0.0012,""))))))))</f>
        <v>9.0310000000000001E-2</v>
      </c>
      <c r="AN328" s="128" t="str">
        <f t="shared" si="138"/>
        <v/>
      </c>
      <c r="AO328" s="128" t="str">
        <f t="shared" si="139"/>
        <v/>
      </c>
      <c r="AP328" s="128">
        <v>210</v>
      </c>
      <c r="AQ328" s="3" t="b">
        <f>IF(AO$325=AJ328,L$13*AM328*56275)</f>
        <v>0</v>
      </c>
      <c r="AR328" s="3" t="b">
        <f>IF(AO$325=AJ328,L$14*AM328*56275)</f>
        <v>0</v>
      </c>
      <c r="AS328" s="3">
        <f>(((AQ328-AR328)/1000)*0.000001)*L$7</f>
        <v>0</v>
      </c>
      <c r="AT328" s="126" t="s">
        <v>64</v>
      </c>
      <c r="AU328" s="126"/>
      <c r="AV328" s="126"/>
      <c r="AX328" s="126">
        <v>4</v>
      </c>
      <c r="AY328" s="128" t="s">
        <v>153</v>
      </c>
      <c r="AZ328" s="128"/>
      <c r="BA328" s="128">
        <f>IF(BF260=1,0.09031, IF(BF260=2,0.297, IF(BF260=3,0.155, IF(BF260=4, 0.13, IF(BF260=5, 0.0239, IF(BF260=6, 0.0239, IF(BF260=7, 0.0012, IF(BF260=8, 0.0012,""))))))))</f>
        <v>9.0310000000000001E-2</v>
      </c>
      <c r="BB328" s="128" t="str">
        <f t="shared" si="140"/>
        <v/>
      </c>
      <c r="BC328" s="128" t="str">
        <f t="shared" si="141"/>
        <v/>
      </c>
      <c r="BD328" s="128">
        <v>210</v>
      </c>
      <c r="BE328" s="3" t="b">
        <f>IF(BC$325=AX328,M$13*BA328*56275)</f>
        <v>0</v>
      </c>
      <c r="BF328" s="3" t="b">
        <f>IF(BC$325=AX328,M$14*BA328*56275)</f>
        <v>0</v>
      </c>
      <c r="BG328" s="3">
        <f t="shared" si="142"/>
        <v>0</v>
      </c>
      <c r="BH328" s="126" t="s">
        <v>64</v>
      </c>
      <c r="BI328" s="126"/>
      <c r="BL328" s="126" t="s">
        <v>64</v>
      </c>
      <c r="BM328" s="126"/>
    </row>
    <row r="329" spans="6:65" s="123" customFormat="1" hidden="1">
      <c r="F329" s="126">
        <v>5</v>
      </c>
      <c r="G329" s="128" t="s">
        <v>154</v>
      </c>
      <c r="H329" s="128"/>
      <c r="I329" s="128">
        <f>IF(N260=1,0.10845, IF(N260=2, 0.358, IF(N260=3, 0.194, IF(N260=4, 0.151, IF(N260=5, 0.0268, IF(N260=6, 0.0268, IF(N260=7, 0.0013, IF(N260=8, 0.0013,""))))))))</f>
        <v>0.10845</v>
      </c>
      <c r="J329" s="128" t="str">
        <f t="shared" si="135"/>
        <v/>
      </c>
      <c r="K329" s="128" t="str">
        <f t="shared" si="143"/>
        <v/>
      </c>
      <c r="L329" s="128">
        <v>251</v>
      </c>
      <c r="M329" s="3" t="b">
        <f>IF(K$325=F329,J$13*I329*56275)</f>
        <v>0</v>
      </c>
      <c r="N329" s="3" t="b">
        <f>IF(K$325=F329,J$14*I329*56275)</f>
        <v>0</v>
      </c>
      <c r="O329" s="3">
        <f>(((M329-N329)/1000)*0.000001)*J$7</f>
        <v>0</v>
      </c>
      <c r="P329" s="126" t="s">
        <v>64</v>
      </c>
      <c r="Q329" s="126"/>
      <c r="R329" s="126"/>
      <c r="S329" s="126"/>
      <c r="T329" s="126"/>
      <c r="V329" s="126">
        <v>5</v>
      </c>
      <c r="W329" s="128" t="s">
        <v>154</v>
      </c>
      <c r="X329" s="128"/>
      <c r="Y329" s="128">
        <f>IF(AD260=1,0.10845, IF(AD260=2, 0.358, IF(AD260=3, 0.194, IF(AD260=4, 0.151, IF(AD260=5, 0.0268, IF(AD260=6, 0.0268, IF(AD260=7, 0.0013, IF(AD260=8, 0.0013,""))))))))</f>
        <v>0.10845</v>
      </c>
      <c r="Z329" s="128" t="str">
        <f t="shared" si="136"/>
        <v/>
      </c>
      <c r="AA329" s="128" t="str">
        <f t="shared" si="137"/>
        <v/>
      </c>
      <c r="AB329" s="128">
        <v>251</v>
      </c>
      <c r="AC329" s="3" t="b">
        <f>IF(AA$325=V329,K$13*Y329*56275)</f>
        <v>0</v>
      </c>
      <c r="AD329" s="3" t="b">
        <f>IF(AA$325=V329,K$14*Y329*56275)</f>
        <v>0</v>
      </c>
      <c r="AE329" s="3">
        <f>(((AC329-AD329)/1000)*0.000001)*K$7</f>
        <v>0</v>
      </c>
      <c r="AF329" s="126" t="s">
        <v>64</v>
      </c>
      <c r="AG329" s="126"/>
      <c r="AH329" s="126"/>
      <c r="AI329" s="126"/>
      <c r="AJ329" s="126">
        <v>5</v>
      </c>
      <c r="AK329" s="128" t="s">
        <v>154</v>
      </c>
      <c r="AL329" s="128"/>
      <c r="AM329" s="128">
        <f>IF(AR260=1,0.10845, IF(AR260=2, 0.358, IF(AR260=3, 0.194, IF(AR260=4, 0.151, IF(AR260=5, 0.0268, IF(AR260=6, 0.0268, IF(AR260=7, 0.0013, IF(AR260=8, 0.0013,""))))))))</f>
        <v>0.10845</v>
      </c>
      <c r="AN329" s="128" t="str">
        <f t="shared" si="138"/>
        <v/>
      </c>
      <c r="AO329" s="128" t="str">
        <f t="shared" si="139"/>
        <v/>
      </c>
      <c r="AP329" s="128">
        <v>251</v>
      </c>
      <c r="AQ329" s="3" t="b">
        <f>IF(AO$325=AJ329,L$13*AM329*56275)</f>
        <v>0</v>
      </c>
      <c r="AR329" s="3" t="b">
        <f>IF(AO$325=AJ329,L$14*AM329*56275)</f>
        <v>0</v>
      </c>
      <c r="AS329" s="3">
        <f>(((AQ329-AR329)/1000)*0.000001)*L$7</f>
        <v>0</v>
      </c>
      <c r="AT329" s="126" t="s">
        <v>64</v>
      </c>
      <c r="AU329" s="126"/>
      <c r="AV329" s="126"/>
      <c r="AX329" s="126">
        <v>5</v>
      </c>
      <c r="AY329" s="128" t="s">
        <v>154</v>
      </c>
      <c r="AZ329" s="128"/>
      <c r="BA329" s="128">
        <f>IF(BF260=1,0.10845, IF(BF260=2, 0.358, IF(BF260=3, 0.194, IF(BF260=4, 0.151, IF(BF260=5, 0.0268, IF(BF260=6, 0.0268, IF(BF260=7, 0.0013, IF(BF260=8, 0.0013,""))))))))</f>
        <v>0.10845</v>
      </c>
      <c r="BB329" s="128" t="str">
        <f t="shared" si="140"/>
        <v/>
      </c>
      <c r="BC329" s="128" t="str">
        <f t="shared" si="141"/>
        <v/>
      </c>
      <c r="BD329" s="128">
        <v>251</v>
      </c>
      <c r="BE329" s="3" t="b">
        <f>IF(BC$325=AX329,M$13*BA329*56275)</f>
        <v>0</v>
      </c>
      <c r="BF329" s="3" t="b">
        <f>IF(BC$325=AX329,M$14*BA329*56275)</f>
        <v>0</v>
      </c>
      <c r="BG329" s="3">
        <f t="shared" si="142"/>
        <v>0</v>
      </c>
      <c r="BH329" s="126" t="s">
        <v>64</v>
      </c>
      <c r="BI329" s="126"/>
      <c r="BL329" s="126" t="s">
        <v>64</v>
      </c>
      <c r="BM329" s="126"/>
    </row>
    <row r="330" spans="6:65" hidden="1">
      <c r="F330" s="2"/>
      <c r="G330" s="2"/>
      <c r="H330" s="2"/>
      <c r="I330" s="2"/>
      <c r="J330" s="2"/>
      <c r="K330" s="2"/>
      <c r="L330" s="2"/>
      <c r="M330" s="2"/>
      <c r="N330" s="2"/>
      <c r="O330" s="2"/>
      <c r="P330" s="2"/>
      <c r="Q330" s="2"/>
      <c r="R330" s="2"/>
      <c r="S330" s="2"/>
      <c r="T330" s="2"/>
      <c r="V330" s="2"/>
      <c r="W330" s="2"/>
      <c r="X330" s="2"/>
      <c r="Y330" s="2"/>
      <c r="Z330" s="2"/>
      <c r="AA330" s="2"/>
      <c r="AB330" s="2"/>
      <c r="AC330" s="2"/>
      <c r="AD330" s="2"/>
      <c r="AE330" s="2"/>
      <c r="AF330" s="2"/>
      <c r="AG330" s="2"/>
      <c r="AH330" s="2"/>
      <c r="AI330" s="2"/>
      <c r="AJ330" s="2"/>
      <c r="AK330" s="2"/>
      <c r="AL330" s="2"/>
      <c r="AM330" s="2"/>
      <c r="AN330" s="2"/>
      <c r="AO330" s="2"/>
      <c r="AP330" s="2"/>
      <c r="AQ330" s="2"/>
      <c r="AR330" s="2"/>
      <c r="AS330" s="2"/>
      <c r="AT330" s="2"/>
      <c r="AU330" s="2"/>
      <c r="AV330" s="2"/>
      <c r="AX330" s="2"/>
      <c r="AY330" s="2"/>
      <c r="AZ330" s="2"/>
      <c r="BA330" s="2"/>
      <c r="BB330" s="2"/>
      <c r="BC330" s="2"/>
      <c r="BD330" s="2"/>
      <c r="BE330" s="2"/>
      <c r="BF330" s="2"/>
      <c r="BG330" s="2"/>
      <c r="BH330" s="2"/>
      <c r="BI330" s="2"/>
      <c r="BL330" s="2"/>
      <c r="BM330" s="2"/>
    </row>
    <row r="331" spans="6:65" s="104" customFormat="1" hidden="1">
      <c r="F331" s="105"/>
      <c r="G331" s="105"/>
      <c r="H331" s="105"/>
      <c r="I331" s="105"/>
      <c r="J331" s="105"/>
      <c r="K331" s="105"/>
      <c r="L331" s="105"/>
      <c r="M331" s="105"/>
      <c r="N331" s="105"/>
      <c r="O331" s="105"/>
      <c r="P331" s="105"/>
      <c r="Q331" s="105"/>
      <c r="R331" s="105"/>
      <c r="S331" s="105"/>
      <c r="T331" s="105"/>
      <c r="V331" s="105"/>
      <c r="W331" s="105"/>
      <c r="X331" s="105"/>
      <c r="Y331" s="105"/>
      <c r="Z331" s="105"/>
      <c r="AA331" s="105"/>
      <c r="AB331" s="105"/>
      <c r="AC331" s="105"/>
      <c r="AD331" s="105"/>
      <c r="AE331" s="105"/>
      <c r="AF331" s="105"/>
      <c r="AG331" s="105"/>
      <c r="AH331" s="105"/>
      <c r="AI331" s="105"/>
      <c r="AJ331" s="105"/>
      <c r="AK331" s="105"/>
      <c r="AL331" s="105"/>
      <c r="AM331" s="105"/>
      <c r="AN331" s="105"/>
      <c r="AO331" s="105"/>
      <c r="AP331" s="105"/>
      <c r="AQ331" s="105"/>
      <c r="AR331" s="105"/>
      <c r="AS331" s="105"/>
      <c r="AT331" s="105"/>
      <c r="AU331" s="105"/>
      <c r="AV331" s="105"/>
      <c r="AX331" s="105"/>
      <c r="AY331" s="105"/>
      <c r="AZ331" s="105"/>
      <c r="BA331" s="105"/>
      <c r="BB331" s="105"/>
      <c r="BC331" s="105"/>
      <c r="BD331" s="105"/>
      <c r="BE331" s="105"/>
      <c r="BF331" s="105"/>
      <c r="BG331" s="105"/>
      <c r="BH331" s="105"/>
      <c r="BI331" s="105"/>
      <c r="BL331" s="105"/>
      <c r="BM331" s="105"/>
    </row>
    <row r="332" spans="6:65" hidden="1">
      <c r="F332" s="2"/>
      <c r="G332" s="16" t="s">
        <v>155</v>
      </c>
      <c r="H332" s="2"/>
      <c r="I332" s="2"/>
      <c r="J332" s="2"/>
      <c r="K332" s="2"/>
      <c r="L332" s="2"/>
      <c r="M332" s="2"/>
      <c r="N332" s="2"/>
      <c r="O332" s="2"/>
      <c r="P332" s="2"/>
      <c r="Q332" s="2"/>
      <c r="R332" s="2"/>
      <c r="S332" s="2"/>
      <c r="T332" s="2"/>
      <c r="V332" s="2"/>
      <c r="W332" s="2" t="s">
        <v>155</v>
      </c>
      <c r="X332" s="2"/>
      <c r="Y332" s="2"/>
      <c r="Z332" s="2"/>
      <c r="AA332" s="2"/>
      <c r="AB332" s="2"/>
      <c r="AC332" s="2"/>
      <c r="AD332" s="2"/>
      <c r="AE332" s="2"/>
      <c r="AF332" s="2"/>
      <c r="AG332" s="2"/>
      <c r="AH332" s="2"/>
      <c r="AI332" s="2"/>
      <c r="AJ332" s="2"/>
      <c r="AK332" s="2" t="s">
        <v>155</v>
      </c>
      <c r="AL332" s="2"/>
      <c r="AM332" s="2"/>
      <c r="AN332" s="2"/>
      <c r="AO332" s="2"/>
      <c r="AP332" s="2"/>
      <c r="AQ332" s="2"/>
      <c r="AR332" s="2"/>
      <c r="AS332" s="2"/>
      <c r="AT332" s="2"/>
      <c r="AU332" s="2"/>
      <c r="AV332" s="2"/>
      <c r="AX332" s="2"/>
      <c r="AY332" s="2" t="s">
        <v>88</v>
      </c>
      <c r="AZ332" s="2"/>
      <c r="BA332" s="2"/>
      <c r="BB332" s="2"/>
      <c r="BC332" s="2"/>
      <c r="BD332" s="2"/>
      <c r="BE332" s="2"/>
      <c r="BF332" s="2"/>
      <c r="BG332" s="2"/>
      <c r="BH332" s="2"/>
      <c r="BI332" s="2"/>
      <c r="BL332" s="2"/>
      <c r="BM332" s="2"/>
    </row>
    <row r="333" spans="6:65" hidden="1">
      <c r="F333" s="2"/>
      <c r="G333" s="2"/>
      <c r="H333" s="2" t="s">
        <v>40</v>
      </c>
      <c r="I333" s="2" t="s">
        <v>40</v>
      </c>
      <c r="J333" s="2"/>
      <c r="K333" s="2"/>
      <c r="L333" s="2"/>
      <c r="M333" s="2"/>
      <c r="N333" s="2"/>
      <c r="O333" s="2"/>
      <c r="P333" s="2"/>
      <c r="Q333" s="2"/>
      <c r="R333" s="2"/>
      <c r="S333" s="2"/>
      <c r="T333" s="2"/>
      <c r="V333" s="2"/>
      <c r="W333" s="2"/>
      <c r="X333" s="2" t="s">
        <v>40</v>
      </c>
      <c r="Y333" s="2" t="s">
        <v>40</v>
      </c>
      <c r="Z333" s="2"/>
      <c r="AA333" s="2"/>
      <c r="AB333" s="2"/>
      <c r="AC333" s="2"/>
      <c r="AD333" s="2"/>
      <c r="AE333" s="2"/>
      <c r="AF333" s="2"/>
      <c r="AG333" s="2"/>
      <c r="AH333" s="2"/>
      <c r="AI333" s="2"/>
      <c r="AJ333" s="2"/>
      <c r="AK333" s="2"/>
      <c r="AL333" s="2" t="s">
        <v>40</v>
      </c>
      <c r="AM333" s="2" t="s">
        <v>40</v>
      </c>
      <c r="AN333" s="2"/>
      <c r="AO333" s="2"/>
      <c r="AP333" s="2"/>
      <c r="AQ333" s="2"/>
      <c r="AR333" s="2"/>
      <c r="AS333" s="2"/>
      <c r="AT333" s="2"/>
      <c r="AU333" s="2"/>
      <c r="AV333" s="2"/>
      <c r="AX333" s="2"/>
      <c r="AY333" s="2"/>
      <c r="AZ333" s="2" t="s">
        <v>40</v>
      </c>
      <c r="BA333" s="2" t="s">
        <v>40</v>
      </c>
      <c r="BB333" s="2"/>
      <c r="BC333" s="2"/>
      <c r="BD333" s="2"/>
      <c r="BE333" s="2"/>
      <c r="BF333" s="2"/>
      <c r="BG333" s="2"/>
      <c r="BH333" s="2"/>
      <c r="BI333" s="2"/>
      <c r="BL333" s="2"/>
      <c r="BM333" s="2"/>
    </row>
    <row r="334" spans="6:65" hidden="1">
      <c r="F334" s="2">
        <v>1</v>
      </c>
      <c r="G334" s="2" t="s">
        <v>110</v>
      </c>
      <c r="H334" s="2" t="str">
        <f t="shared" ref="H334:H341" si="144">IF((J$10=G334),F334,"")</f>
        <v/>
      </c>
      <c r="I334" s="2" t="str">
        <f>IFERROR(SMALL(H$334:H$342,F334),"")</f>
        <v/>
      </c>
      <c r="J334" s="2"/>
      <c r="K334" s="2"/>
      <c r="L334" s="2"/>
      <c r="M334" s="2"/>
      <c r="N334" s="2"/>
      <c r="O334" s="2"/>
      <c r="P334" s="2"/>
      <c r="Q334" s="2"/>
      <c r="R334" s="2"/>
      <c r="S334" s="2"/>
      <c r="T334" s="2"/>
      <c r="V334" s="2">
        <v>1</v>
      </c>
      <c r="W334" s="2" t="s">
        <v>110</v>
      </c>
      <c r="X334" s="2" t="str">
        <f>IF((K$10=W334),V334,"")</f>
        <v/>
      </c>
      <c r="Y334" s="2" t="str">
        <f>IFERROR(SMALL(X$334:X$341,V334),"")</f>
        <v/>
      </c>
      <c r="Z334" s="2"/>
      <c r="AA334" s="2"/>
      <c r="AB334" s="2"/>
      <c r="AC334" s="2"/>
      <c r="AD334" s="2"/>
      <c r="AE334" s="2"/>
      <c r="AF334" s="2"/>
      <c r="AG334" s="2"/>
      <c r="AH334" s="2"/>
      <c r="AI334" s="2"/>
      <c r="AJ334" s="2">
        <v>1</v>
      </c>
      <c r="AK334" s="2" t="s">
        <v>110</v>
      </c>
      <c r="AL334" s="2" t="str">
        <f>IF((L$10=AK334),AJ334,"")</f>
        <v/>
      </c>
      <c r="AM334" s="2" t="str">
        <f>IFERROR(SMALL(AL$334:AL$341,AJ334),"")</f>
        <v/>
      </c>
      <c r="AN334" s="2"/>
      <c r="AO334" s="2"/>
      <c r="AP334" s="2"/>
      <c r="AQ334" s="2"/>
      <c r="AR334" s="2"/>
      <c r="AS334" s="2"/>
      <c r="AT334" s="2"/>
      <c r="AU334" s="2"/>
      <c r="AV334" s="2"/>
      <c r="AX334" s="2">
        <v>1</v>
      </c>
      <c r="AY334" s="2" t="s">
        <v>110</v>
      </c>
      <c r="AZ334" s="2" t="str">
        <f>IF((M$10=AY334),AX334,"")</f>
        <v/>
      </c>
      <c r="BA334" s="2" t="str">
        <f>IFERROR(SMALL(AZ$334:AZ$341,AX334),"")</f>
        <v/>
      </c>
      <c r="BB334" s="2"/>
      <c r="BC334" s="2"/>
      <c r="BD334" s="2"/>
      <c r="BE334" s="2"/>
      <c r="BF334" s="2"/>
      <c r="BG334" s="2"/>
      <c r="BH334" s="2"/>
      <c r="BI334" s="2"/>
      <c r="BL334" s="2"/>
      <c r="BM334" s="2"/>
    </row>
    <row r="335" spans="6:65" hidden="1">
      <c r="F335" s="2">
        <v>2</v>
      </c>
      <c r="G335" s="2" t="s">
        <v>76</v>
      </c>
      <c r="H335" s="2" t="str">
        <f t="shared" si="144"/>
        <v/>
      </c>
      <c r="I335" s="2" t="str">
        <f t="shared" ref="I335:I341" si="145">IFERROR(SMALL(G$334:G$341,F335),"")</f>
        <v/>
      </c>
      <c r="J335" s="2"/>
      <c r="K335" s="2"/>
      <c r="L335" s="2"/>
      <c r="M335" s="2"/>
      <c r="N335" s="2"/>
      <c r="O335" s="2"/>
      <c r="P335" s="2"/>
      <c r="Q335" s="2"/>
      <c r="R335" s="2"/>
      <c r="S335" s="2"/>
      <c r="T335" s="2"/>
      <c r="V335" s="2">
        <v>2</v>
      </c>
      <c r="W335" s="2" t="s">
        <v>76</v>
      </c>
      <c r="X335" s="2" t="str">
        <f>IF((K$10=W335),V335,"")</f>
        <v/>
      </c>
      <c r="Y335" s="2" t="str">
        <f t="shared" ref="Y335:Y341" si="146">IFERROR(SMALL(W$334:W$341,V335),"")</f>
        <v/>
      </c>
      <c r="Z335" s="2"/>
      <c r="AA335" s="2"/>
      <c r="AB335" s="2"/>
      <c r="AC335" s="2"/>
      <c r="AD335" s="2"/>
      <c r="AE335" s="2"/>
      <c r="AF335" s="2"/>
      <c r="AG335" s="2"/>
      <c r="AH335" s="2"/>
      <c r="AI335" s="2"/>
      <c r="AJ335" s="2">
        <v>2</v>
      </c>
      <c r="AK335" s="2" t="s">
        <v>76</v>
      </c>
      <c r="AL335" s="2" t="str">
        <f t="shared" ref="AL335:AL341" si="147">IF((L$10=AK335),AJ335,"")</f>
        <v/>
      </c>
      <c r="AM335" s="2" t="str">
        <f t="shared" ref="AM335:AM341" si="148">IFERROR(SMALL(AK$334:AK$341,AJ335),"")</f>
        <v/>
      </c>
      <c r="AN335" s="2"/>
      <c r="AO335" s="2"/>
      <c r="AP335" s="2"/>
      <c r="AQ335" s="2"/>
      <c r="AR335" s="2"/>
      <c r="AS335" s="2"/>
      <c r="AT335" s="2"/>
      <c r="AU335" s="2"/>
      <c r="AV335" s="2"/>
      <c r="AX335" s="2">
        <v>2</v>
      </c>
      <c r="AY335" s="2" t="s">
        <v>76</v>
      </c>
      <c r="AZ335" s="2" t="str">
        <f t="shared" ref="AZ335:AZ341" si="149">IF((M$10=AY335),AX335,"")</f>
        <v/>
      </c>
      <c r="BA335" s="2" t="str">
        <f t="shared" ref="BA335:BA341" si="150">IFERROR(SMALL(AY$334:AY$341,AX335),"")</f>
        <v/>
      </c>
      <c r="BB335" s="2"/>
      <c r="BC335" s="2"/>
      <c r="BD335" s="2"/>
      <c r="BE335" s="2"/>
      <c r="BF335" s="2"/>
      <c r="BG335" s="2"/>
      <c r="BH335" s="2"/>
      <c r="BI335" s="2"/>
      <c r="BL335" s="2"/>
      <c r="BM335" s="2"/>
    </row>
    <row r="336" spans="6:65" hidden="1">
      <c r="F336" s="2">
        <v>3</v>
      </c>
      <c r="G336" s="2" t="s">
        <v>77</v>
      </c>
      <c r="H336" s="2" t="str">
        <f>IF((J$10=G336),F336,"")</f>
        <v/>
      </c>
      <c r="I336" s="2" t="str">
        <f t="shared" si="145"/>
        <v/>
      </c>
      <c r="J336" s="2"/>
      <c r="K336" s="2"/>
      <c r="L336" s="2"/>
      <c r="M336" s="2"/>
      <c r="N336" s="2"/>
      <c r="O336" s="2"/>
      <c r="P336" s="2"/>
      <c r="Q336" s="2"/>
      <c r="R336" s="2"/>
      <c r="S336" s="2"/>
      <c r="T336" s="2"/>
      <c r="V336" s="2">
        <v>3</v>
      </c>
      <c r="W336" s="2" t="s">
        <v>77</v>
      </c>
      <c r="X336" s="2" t="str">
        <f>IF((K$10=W336),V336,"")</f>
        <v/>
      </c>
      <c r="Y336" s="2" t="str">
        <f t="shared" si="146"/>
        <v/>
      </c>
      <c r="Z336" s="2"/>
      <c r="AA336" s="2"/>
      <c r="AB336" s="2"/>
      <c r="AC336" s="2"/>
      <c r="AD336" s="2"/>
      <c r="AE336" s="2"/>
      <c r="AF336" s="2"/>
      <c r="AG336" s="2"/>
      <c r="AH336" s="2"/>
      <c r="AI336" s="2"/>
      <c r="AJ336" s="2">
        <v>3</v>
      </c>
      <c r="AK336" s="2" t="s">
        <v>77</v>
      </c>
      <c r="AL336" s="2" t="str">
        <f>IF((L$10=AK336),AJ336,"")</f>
        <v/>
      </c>
      <c r="AM336" s="2" t="str">
        <f t="shared" si="148"/>
        <v/>
      </c>
      <c r="AN336" s="2"/>
      <c r="AO336" s="2"/>
      <c r="AP336" s="2"/>
      <c r="AQ336" s="2"/>
      <c r="AR336" s="2"/>
      <c r="AS336" s="2"/>
      <c r="AT336" s="2"/>
      <c r="AU336" s="2"/>
      <c r="AV336" s="2"/>
      <c r="AX336" s="2">
        <v>3</v>
      </c>
      <c r="AY336" s="2" t="s">
        <v>77</v>
      </c>
      <c r="AZ336" s="2" t="str">
        <f>IF((M$10=AY336),AX336,"")</f>
        <v/>
      </c>
      <c r="BA336" s="2" t="str">
        <f t="shared" si="150"/>
        <v/>
      </c>
      <c r="BB336" s="2"/>
      <c r="BC336" s="2"/>
      <c r="BD336" s="2"/>
      <c r="BE336" s="2"/>
      <c r="BF336" s="2"/>
      <c r="BG336" s="2"/>
      <c r="BH336" s="2"/>
      <c r="BI336" s="2"/>
      <c r="BL336" s="2"/>
      <c r="BM336" s="2"/>
    </row>
    <row r="337" spans="6:65" hidden="1">
      <c r="F337" s="2">
        <v>4</v>
      </c>
      <c r="G337" s="2" t="s">
        <v>78</v>
      </c>
      <c r="H337" s="2" t="str">
        <f t="shared" si="144"/>
        <v/>
      </c>
      <c r="I337" s="2" t="str">
        <f t="shared" si="145"/>
        <v/>
      </c>
      <c r="J337" s="2"/>
      <c r="K337" s="2"/>
      <c r="L337" s="2"/>
      <c r="M337" s="2"/>
      <c r="N337" s="2"/>
      <c r="O337" s="2"/>
      <c r="P337" s="2"/>
      <c r="Q337" s="2"/>
      <c r="R337" s="2"/>
      <c r="S337" s="2"/>
      <c r="T337" s="2"/>
      <c r="V337" s="2">
        <v>4</v>
      </c>
      <c r="W337" s="2" t="s">
        <v>78</v>
      </c>
      <c r="X337" s="2" t="str">
        <f t="shared" ref="X337:X341" si="151">IF((K$10=W337),V337,"")</f>
        <v/>
      </c>
      <c r="Y337" s="2" t="str">
        <f t="shared" si="146"/>
        <v/>
      </c>
      <c r="Z337" s="2"/>
      <c r="AA337" s="2"/>
      <c r="AB337" s="2"/>
      <c r="AC337" s="2"/>
      <c r="AD337" s="2"/>
      <c r="AE337" s="2"/>
      <c r="AF337" s="2"/>
      <c r="AG337" s="2"/>
      <c r="AH337" s="2"/>
      <c r="AI337" s="2"/>
      <c r="AJ337" s="2">
        <v>4</v>
      </c>
      <c r="AK337" s="2" t="s">
        <v>78</v>
      </c>
      <c r="AL337" s="2" t="str">
        <f>IF((L$10=AK337),AJ337,"")</f>
        <v/>
      </c>
      <c r="AM337" s="2" t="str">
        <f t="shared" si="148"/>
        <v/>
      </c>
      <c r="AN337" s="2"/>
      <c r="AO337" s="2"/>
      <c r="AP337" s="2"/>
      <c r="AQ337" s="2"/>
      <c r="AR337" s="2"/>
      <c r="AS337" s="2"/>
      <c r="AT337" s="2"/>
      <c r="AU337" s="2"/>
      <c r="AV337" s="2"/>
      <c r="AX337" s="2">
        <v>4</v>
      </c>
      <c r="AY337" s="2" t="s">
        <v>78</v>
      </c>
      <c r="AZ337" s="2" t="str">
        <f t="shared" si="149"/>
        <v/>
      </c>
      <c r="BA337" s="2" t="str">
        <f t="shared" si="150"/>
        <v/>
      </c>
      <c r="BB337" s="2"/>
      <c r="BC337" s="2"/>
      <c r="BD337" s="2"/>
      <c r="BE337" s="2"/>
      <c r="BF337" s="2"/>
      <c r="BG337" s="2"/>
      <c r="BH337" s="2"/>
      <c r="BI337" s="2"/>
      <c r="BL337" s="2"/>
      <c r="BM337" s="2"/>
    </row>
    <row r="338" spans="6:65" hidden="1">
      <c r="F338" s="2">
        <v>5</v>
      </c>
      <c r="G338" s="2" t="s">
        <v>79</v>
      </c>
      <c r="H338" s="2" t="str">
        <f t="shared" si="144"/>
        <v/>
      </c>
      <c r="I338" s="2" t="str">
        <f t="shared" si="145"/>
        <v/>
      </c>
      <c r="J338" s="2"/>
      <c r="K338" s="2"/>
      <c r="L338" s="2"/>
      <c r="M338" s="2"/>
      <c r="N338" s="2"/>
      <c r="O338" s="2"/>
      <c r="P338" s="2"/>
      <c r="Q338" s="2"/>
      <c r="R338" s="2"/>
      <c r="S338" s="2"/>
      <c r="T338" s="2"/>
      <c r="V338" s="2">
        <v>5</v>
      </c>
      <c r="W338" s="2" t="s">
        <v>79</v>
      </c>
      <c r="X338" s="2" t="str">
        <f t="shared" si="151"/>
        <v/>
      </c>
      <c r="Y338" s="2" t="str">
        <f t="shared" si="146"/>
        <v/>
      </c>
      <c r="Z338" s="2"/>
      <c r="AA338" s="2"/>
      <c r="AB338" s="2"/>
      <c r="AC338" s="2"/>
      <c r="AD338" s="2"/>
      <c r="AE338" s="2"/>
      <c r="AF338" s="2"/>
      <c r="AG338" s="2"/>
      <c r="AH338" s="2"/>
      <c r="AI338" s="2"/>
      <c r="AJ338" s="2">
        <v>5</v>
      </c>
      <c r="AK338" s="2" t="s">
        <v>79</v>
      </c>
      <c r="AL338" s="2" t="str">
        <f t="shared" si="147"/>
        <v/>
      </c>
      <c r="AM338" s="2" t="str">
        <f t="shared" si="148"/>
        <v/>
      </c>
      <c r="AN338" s="2"/>
      <c r="AO338" s="2"/>
      <c r="AP338" s="2"/>
      <c r="AQ338" s="2"/>
      <c r="AR338" s="2"/>
      <c r="AS338" s="2"/>
      <c r="AT338" s="2"/>
      <c r="AU338" s="2"/>
      <c r="AV338" s="2"/>
      <c r="AX338" s="2">
        <v>5</v>
      </c>
      <c r="AY338" s="2" t="s">
        <v>79</v>
      </c>
      <c r="AZ338" s="2" t="str">
        <f t="shared" si="149"/>
        <v/>
      </c>
      <c r="BA338" s="2" t="str">
        <f t="shared" si="150"/>
        <v/>
      </c>
      <c r="BB338" s="2"/>
      <c r="BC338" s="2"/>
      <c r="BD338" s="2"/>
      <c r="BE338" s="2"/>
      <c r="BF338" s="2"/>
      <c r="BG338" s="2"/>
      <c r="BH338" s="2"/>
      <c r="BI338" s="2"/>
      <c r="BL338" s="2"/>
      <c r="BM338" s="2"/>
    </row>
    <row r="339" spans="6:65" hidden="1">
      <c r="F339" s="2">
        <v>6</v>
      </c>
      <c r="G339" s="2" t="s">
        <v>80</v>
      </c>
      <c r="H339" s="2" t="str">
        <f t="shared" si="144"/>
        <v/>
      </c>
      <c r="I339" s="2" t="str">
        <f t="shared" si="145"/>
        <v/>
      </c>
      <c r="J339" s="2"/>
      <c r="K339" s="2"/>
      <c r="L339" s="2"/>
      <c r="M339" s="2"/>
      <c r="N339" s="2"/>
      <c r="O339" s="2"/>
      <c r="P339" s="2"/>
      <c r="Q339" s="2"/>
      <c r="R339" s="2"/>
      <c r="S339" s="2"/>
      <c r="T339" s="2"/>
      <c r="V339" s="2">
        <v>6</v>
      </c>
      <c r="W339" s="2" t="s">
        <v>80</v>
      </c>
      <c r="X339" s="2" t="str">
        <f t="shared" si="151"/>
        <v/>
      </c>
      <c r="Y339" s="2" t="str">
        <f t="shared" si="146"/>
        <v/>
      </c>
      <c r="Z339" s="2"/>
      <c r="AA339" s="2"/>
      <c r="AB339" s="2"/>
      <c r="AC339" s="2"/>
      <c r="AD339" s="2"/>
      <c r="AE339" s="2"/>
      <c r="AF339" s="2"/>
      <c r="AG339" s="2"/>
      <c r="AH339" s="2"/>
      <c r="AI339" s="2"/>
      <c r="AJ339" s="2">
        <v>6</v>
      </c>
      <c r="AK339" s="2" t="s">
        <v>80</v>
      </c>
      <c r="AL339" s="2" t="str">
        <f t="shared" si="147"/>
        <v/>
      </c>
      <c r="AM339" s="2" t="str">
        <f t="shared" si="148"/>
        <v/>
      </c>
      <c r="AN339" s="2"/>
      <c r="AO339" s="2"/>
      <c r="AP339" s="2"/>
      <c r="AQ339" s="2"/>
      <c r="AR339" s="2"/>
      <c r="AS339" s="2"/>
      <c r="AT339" s="2"/>
      <c r="AU339" s="2"/>
      <c r="AV339" s="2"/>
      <c r="AX339" s="2">
        <v>6</v>
      </c>
      <c r="AY339" s="2" t="s">
        <v>80</v>
      </c>
      <c r="AZ339" s="2" t="str">
        <f t="shared" si="149"/>
        <v/>
      </c>
      <c r="BA339" s="2" t="str">
        <f t="shared" si="150"/>
        <v/>
      </c>
      <c r="BB339" s="2"/>
      <c r="BC339" s="2"/>
      <c r="BD339" s="2"/>
      <c r="BE339" s="2"/>
      <c r="BF339" s="2"/>
      <c r="BG339" s="2"/>
      <c r="BH339" s="2"/>
      <c r="BI339" s="2"/>
      <c r="BL339" s="2"/>
      <c r="BM339" s="2"/>
    </row>
    <row r="340" spans="6:65" hidden="1">
      <c r="F340" s="2">
        <v>7</v>
      </c>
      <c r="G340" s="2" t="s">
        <v>81</v>
      </c>
      <c r="H340" s="2" t="str">
        <f t="shared" si="144"/>
        <v/>
      </c>
      <c r="I340" s="2" t="str">
        <f t="shared" si="145"/>
        <v/>
      </c>
      <c r="J340" s="2"/>
      <c r="K340" s="2"/>
      <c r="L340" s="2"/>
      <c r="M340" s="2"/>
      <c r="N340" s="2"/>
      <c r="O340" s="2"/>
      <c r="P340" s="2"/>
      <c r="Q340" s="2"/>
      <c r="R340" s="2"/>
      <c r="S340" s="2"/>
      <c r="T340" s="2"/>
      <c r="V340" s="2">
        <v>7</v>
      </c>
      <c r="W340" s="2" t="s">
        <v>81</v>
      </c>
      <c r="X340" s="2" t="str">
        <f t="shared" si="151"/>
        <v/>
      </c>
      <c r="Y340" s="2" t="str">
        <f t="shared" si="146"/>
        <v/>
      </c>
      <c r="Z340" s="2"/>
      <c r="AA340" s="2"/>
      <c r="AB340" s="2"/>
      <c r="AC340" s="2"/>
      <c r="AD340" s="2"/>
      <c r="AE340" s="2"/>
      <c r="AF340" s="2"/>
      <c r="AG340" s="2"/>
      <c r="AH340" s="2"/>
      <c r="AI340" s="2"/>
      <c r="AJ340" s="2">
        <v>7</v>
      </c>
      <c r="AK340" s="2" t="s">
        <v>81</v>
      </c>
      <c r="AL340" s="2" t="str">
        <f t="shared" si="147"/>
        <v/>
      </c>
      <c r="AM340" s="2" t="str">
        <f t="shared" si="148"/>
        <v/>
      </c>
      <c r="AN340" s="2"/>
      <c r="AO340" s="2"/>
      <c r="AP340" s="2"/>
      <c r="AQ340" s="2"/>
      <c r="AR340" s="2"/>
      <c r="AS340" s="2"/>
      <c r="AT340" s="2"/>
      <c r="AU340" s="2"/>
      <c r="AV340" s="2"/>
      <c r="AX340" s="2">
        <v>7</v>
      </c>
      <c r="AY340" s="2" t="s">
        <v>81</v>
      </c>
      <c r="AZ340" s="2" t="str">
        <f t="shared" si="149"/>
        <v/>
      </c>
      <c r="BA340" s="2" t="str">
        <f t="shared" si="150"/>
        <v/>
      </c>
      <c r="BB340" s="2"/>
      <c r="BC340" s="2"/>
      <c r="BD340" s="2"/>
      <c r="BE340" s="2"/>
      <c r="BF340" s="2"/>
      <c r="BG340" s="2"/>
      <c r="BH340" s="2"/>
      <c r="BI340" s="2"/>
      <c r="BL340" s="2"/>
      <c r="BM340" s="2"/>
    </row>
    <row r="341" spans="6:65" hidden="1">
      <c r="F341" s="2">
        <v>8</v>
      </c>
      <c r="G341" s="2" t="s">
        <v>82</v>
      </c>
      <c r="H341" s="2" t="str">
        <f t="shared" si="144"/>
        <v/>
      </c>
      <c r="I341" s="2" t="str">
        <f t="shared" si="145"/>
        <v/>
      </c>
      <c r="J341" s="2"/>
      <c r="K341" s="2"/>
      <c r="L341" s="2"/>
      <c r="M341" s="2"/>
      <c r="N341" s="2"/>
      <c r="O341" s="2"/>
      <c r="P341" s="2"/>
      <c r="Q341" s="2"/>
      <c r="R341" s="2"/>
      <c r="S341" s="2"/>
      <c r="T341" s="2"/>
      <c r="V341" s="2">
        <v>8</v>
      </c>
      <c r="W341" s="2" t="s">
        <v>82</v>
      </c>
      <c r="X341" s="2" t="str">
        <f t="shared" si="151"/>
        <v/>
      </c>
      <c r="Y341" s="2" t="str">
        <f t="shared" si="146"/>
        <v/>
      </c>
      <c r="Z341" s="2"/>
      <c r="AA341" s="2"/>
      <c r="AB341" s="2"/>
      <c r="AC341" s="2"/>
      <c r="AD341" s="2"/>
      <c r="AE341" s="2"/>
      <c r="AF341" s="2"/>
      <c r="AG341" s="2"/>
      <c r="AH341" s="2"/>
      <c r="AI341" s="2"/>
      <c r="AJ341" s="2">
        <v>8</v>
      </c>
      <c r="AK341" s="2" t="s">
        <v>82</v>
      </c>
      <c r="AL341" s="2" t="str">
        <f t="shared" si="147"/>
        <v/>
      </c>
      <c r="AM341" s="2" t="str">
        <f t="shared" si="148"/>
        <v/>
      </c>
      <c r="AN341" s="2"/>
      <c r="AO341" s="2"/>
      <c r="AP341" s="2"/>
      <c r="AQ341" s="2"/>
      <c r="AR341" s="2"/>
      <c r="AS341" s="2"/>
      <c r="AT341" s="2"/>
      <c r="AU341" s="2"/>
      <c r="AV341" s="2"/>
      <c r="AX341" s="2">
        <v>8</v>
      </c>
      <c r="AY341" s="2" t="s">
        <v>82</v>
      </c>
      <c r="AZ341" s="2" t="str">
        <f t="shared" si="149"/>
        <v/>
      </c>
      <c r="BA341" s="2" t="str">
        <f t="shared" si="150"/>
        <v/>
      </c>
      <c r="BB341" s="2"/>
      <c r="BC341" s="2"/>
      <c r="BD341" s="2"/>
      <c r="BE341" s="2"/>
      <c r="BF341" s="2"/>
      <c r="BG341" s="2"/>
      <c r="BH341" s="2"/>
      <c r="BI341" s="2"/>
      <c r="BL341" s="2"/>
      <c r="BM341" s="2"/>
    </row>
    <row r="342" spans="6:65" hidden="1">
      <c r="F342" s="2">
        <v>9</v>
      </c>
      <c r="G342" s="17" t="s">
        <v>13</v>
      </c>
    </row>
    <row r="343" spans="6:65" hidden="1">
      <c r="F343" s="2"/>
      <c r="G343" s="17"/>
    </row>
    <row r="344" spans="6:65" s="123" customFormat="1" hidden="1">
      <c r="F344" s="126">
        <v>1</v>
      </c>
      <c r="G344" s="126" t="s">
        <v>110</v>
      </c>
      <c r="H344" s="126">
        <f>IF((J$12=G344),F344,"")</f>
        <v>1</v>
      </c>
      <c r="I344" s="126">
        <f>IFERROR(SMALL(H$344:H$352,F344),"")</f>
        <v>1</v>
      </c>
      <c r="J344" s="126"/>
      <c r="K344" s="126"/>
      <c r="L344" s="126"/>
      <c r="M344" s="126"/>
      <c r="N344" s="126"/>
      <c r="O344" s="126"/>
      <c r="P344" s="126"/>
      <c r="Q344" s="126"/>
      <c r="R344" s="126"/>
      <c r="S344" s="126"/>
      <c r="T344" s="126"/>
      <c r="V344" s="126">
        <v>1</v>
      </c>
      <c r="W344" s="126" t="s">
        <v>110</v>
      </c>
      <c r="X344" s="126">
        <f>IF((K$12=W344),V344,"")</f>
        <v>1</v>
      </c>
      <c r="Y344" s="126">
        <f>IFERROR(SMALL(X$344:X$351,V344),"")</f>
        <v>1</v>
      </c>
      <c r="Z344" s="126"/>
      <c r="AA344" s="126"/>
      <c r="AB344" s="126"/>
      <c r="AC344" s="126"/>
      <c r="AD344" s="126"/>
      <c r="AE344" s="126"/>
      <c r="AF344" s="126"/>
      <c r="AG344" s="126"/>
      <c r="AH344" s="126"/>
      <c r="AI344" s="126"/>
      <c r="AJ344" s="126">
        <v>1</v>
      </c>
      <c r="AK344" s="126" t="s">
        <v>110</v>
      </c>
      <c r="AL344" s="126">
        <f>IF((L$12=AK344),AJ344,"")</f>
        <v>1</v>
      </c>
      <c r="AM344" s="126">
        <f>IFERROR(SMALL(AL$344:AL$351,AJ344),"")</f>
        <v>1</v>
      </c>
      <c r="AN344" s="126"/>
      <c r="AO344" s="126"/>
      <c r="AP344" s="126"/>
      <c r="AQ344" s="126"/>
      <c r="AR344" s="126"/>
      <c r="AS344" s="126"/>
      <c r="AT344" s="126"/>
      <c r="AU344" s="126"/>
      <c r="AV344" s="126"/>
      <c r="AX344" s="126">
        <v>1</v>
      </c>
      <c r="AY344" s="126" t="s">
        <v>110</v>
      </c>
      <c r="AZ344" s="126">
        <f>IF((M$12=AY344),AX344,"")</f>
        <v>1</v>
      </c>
      <c r="BA344" s="126">
        <f>IFERROR(SMALL(AZ$344:AZ$351,AX344),"")</f>
        <v>1</v>
      </c>
      <c r="BB344" s="126"/>
      <c r="BC344" s="126"/>
      <c r="BD344" s="126"/>
      <c r="BE344" s="126"/>
      <c r="BF344" s="126"/>
      <c r="BG344" s="126"/>
      <c r="BH344" s="126"/>
      <c r="BI344" s="126"/>
      <c r="BL344" s="126"/>
      <c r="BM344" s="126"/>
    </row>
    <row r="345" spans="6:65" s="123" customFormat="1" hidden="1">
      <c r="F345" s="126">
        <v>2</v>
      </c>
      <c r="G345" s="126" t="s">
        <v>76</v>
      </c>
      <c r="H345" s="126" t="str">
        <f>IF((J$12=G345),F345,"")</f>
        <v/>
      </c>
      <c r="I345" s="126" t="str">
        <f>IFERROR(SMALL(H$344:H$352,F345),"")</f>
        <v/>
      </c>
      <c r="J345" s="126"/>
      <c r="K345" s="126"/>
      <c r="L345" s="126"/>
      <c r="M345" s="126"/>
      <c r="N345" s="126"/>
      <c r="O345" s="126"/>
      <c r="P345" s="126"/>
      <c r="Q345" s="126"/>
      <c r="R345" s="126"/>
      <c r="S345" s="126"/>
      <c r="T345" s="126"/>
      <c r="V345" s="126">
        <v>2</v>
      </c>
      <c r="W345" s="126" t="s">
        <v>76</v>
      </c>
      <c r="X345" s="126" t="str">
        <f>IF((K$12=W345),V345,"")</f>
        <v/>
      </c>
      <c r="Y345" s="126" t="str">
        <f>IFERROR(SMALL(W$334:W$341,V345),"")</f>
        <v/>
      </c>
      <c r="Z345" s="126"/>
      <c r="AA345" s="126"/>
      <c r="AB345" s="126"/>
      <c r="AC345" s="126"/>
      <c r="AD345" s="126"/>
      <c r="AE345" s="126"/>
      <c r="AF345" s="126"/>
      <c r="AG345" s="126"/>
      <c r="AH345" s="126"/>
      <c r="AI345" s="126"/>
      <c r="AJ345" s="126">
        <v>2</v>
      </c>
      <c r="AK345" s="126" t="s">
        <v>76</v>
      </c>
      <c r="AL345" s="126" t="str">
        <f>IF((L$12=AK345),AJ345,"")</f>
        <v/>
      </c>
      <c r="AM345" s="126" t="str">
        <f t="shared" ref="AM345:AM351" si="152">IFERROR(SMALL(AL$344:AL$351,AJ345),"")</f>
        <v/>
      </c>
      <c r="AN345" s="126"/>
      <c r="AO345" s="126"/>
      <c r="AP345" s="126"/>
      <c r="AQ345" s="126"/>
      <c r="AR345" s="126"/>
      <c r="AS345" s="126"/>
      <c r="AT345" s="126"/>
      <c r="AU345" s="126"/>
      <c r="AV345" s="126"/>
      <c r="AX345" s="126">
        <v>2</v>
      </c>
      <c r="AY345" s="126" t="s">
        <v>76</v>
      </c>
      <c r="AZ345" s="126" t="str">
        <f>IF((M$12=AY345),AX345,"")</f>
        <v/>
      </c>
      <c r="BA345" s="126" t="str">
        <f t="shared" ref="BA345:BA351" si="153">IFERROR(SMALL(AZ$344:AZ$351,AX345),"")</f>
        <v/>
      </c>
      <c r="BB345" s="126"/>
      <c r="BC345" s="126"/>
      <c r="BD345" s="126"/>
      <c r="BE345" s="126"/>
      <c r="BF345" s="126"/>
      <c r="BG345" s="126"/>
      <c r="BH345" s="126"/>
      <c r="BI345" s="126"/>
      <c r="BL345" s="126"/>
      <c r="BM345" s="126"/>
    </row>
    <row r="346" spans="6:65" s="123" customFormat="1" hidden="1">
      <c r="F346" s="126">
        <v>3</v>
      </c>
      <c r="G346" s="126" t="s">
        <v>77</v>
      </c>
      <c r="H346" s="126" t="str">
        <f t="shared" ref="H346:H351" si="154">IF((J$12=G346),F346,"")</f>
        <v/>
      </c>
      <c r="I346" s="126" t="str">
        <f t="shared" ref="I346:I352" si="155">IFERROR(SMALL(H$344:H$352,F346),"")</f>
        <v/>
      </c>
      <c r="J346" s="126"/>
      <c r="K346" s="126"/>
      <c r="L346" s="126"/>
      <c r="M346" s="126"/>
      <c r="N346" s="126"/>
      <c r="O346" s="126"/>
      <c r="P346" s="126"/>
      <c r="Q346" s="126"/>
      <c r="R346" s="126"/>
      <c r="S346" s="126"/>
      <c r="T346" s="126"/>
      <c r="V346" s="126">
        <v>3</v>
      </c>
      <c r="W346" s="126" t="s">
        <v>77</v>
      </c>
      <c r="X346" s="126" t="str">
        <f>IF((K$12=W346),V346,"")</f>
        <v/>
      </c>
      <c r="Y346" s="126" t="str">
        <f t="shared" ref="Y346:Y351" si="156">IFERROR(SMALL(W$334:W$341,V346),"")</f>
        <v/>
      </c>
      <c r="Z346" s="126"/>
      <c r="AA346" s="126"/>
      <c r="AB346" s="126"/>
      <c r="AC346" s="126"/>
      <c r="AD346" s="126"/>
      <c r="AE346" s="126"/>
      <c r="AF346" s="126"/>
      <c r="AG346" s="126"/>
      <c r="AH346" s="126"/>
      <c r="AI346" s="126"/>
      <c r="AJ346" s="126">
        <v>3</v>
      </c>
      <c r="AK346" s="126" t="s">
        <v>77</v>
      </c>
      <c r="AL346" s="126" t="str">
        <f t="shared" ref="AL346:AL351" si="157">IF((L$12=AK346),AJ346,"")</f>
        <v/>
      </c>
      <c r="AM346" s="126" t="str">
        <f t="shared" si="152"/>
        <v/>
      </c>
      <c r="AN346" s="126"/>
      <c r="AO346" s="126"/>
      <c r="AP346" s="126"/>
      <c r="AQ346" s="126"/>
      <c r="AR346" s="126"/>
      <c r="AS346" s="126"/>
      <c r="AT346" s="126"/>
      <c r="AU346" s="126"/>
      <c r="AV346" s="126"/>
      <c r="AX346" s="126">
        <v>3</v>
      </c>
      <c r="AY346" s="126" t="s">
        <v>77</v>
      </c>
      <c r="AZ346" s="126" t="str">
        <f t="shared" ref="AZ346:AZ351" si="158">IF((M$12=AY346),AX346,"")</f>
        <v/>
      </c>
      <c r="BA346" s="126" t="str">
        <f t="shared" si="153"/>
        <v/>
      </c>
      <c r="BB346" s="126"/>
      <c r="BC346" s="126"/>
      <c r="BD346" s="126"/>
      <c r="BE346" s="126"/>
      <c r="BF346" s="126"/>
      <c r="BG346" s="126"/>
      <c r="BH346" s="126"/>
      <c r="BI346" s="126"/>
      <c r="BL346" s="126"/>
      <c r="BM346" s="126"/>
    </row>
    <row r="347" spans="6:65" s="123" customFormat="1" hidden="1">
      <c r="F347" s="126">
        <v>4</v>
      </c>
      <c r="G347" s="126" t="s">
        <v>78</v>
      </c>
      <c r="H347" s="126" t="str">
        <f t="shared" si="154"/>
        <v/>
      </c>
      <c r="I347" s="126" t="str">
        <f t="shared" si="155"/>
        <v/>
      </c>
      <c r="J347" s="126"/>
      <c r="K347" s="126"/>
      <c r="L347" s="126"/>
      <c r="M347" s="126"/>
      <c r="N347" s="126"/>
      <c r="O347" s="126"/>
      <c r="P347" s="126"/>
      <c r="Q347" s="126"/>
      <c r="R347" s="126"/>
      <c r="S347" s="126"/>
      <c r="T347" s="126"/>
      <c r="V347" s="126">
        <v>4</v>
      </c>
      <c r="W347" s="126" t="s">
        <v>78</v>
      </c>
      <c r="X347" s="126" t="str">
        <f>IF((K$12=W347),V347,"")</f>
        <v/>
      </c>
      <c r="Y347" s="126" t="str">
        <f t="shared" si="156"/>
        <v/>
      </c>
      <c r="Z347" s="126"/>
      <c r="AA347" s="126"/>
      <c r="AB347" s="126"/>
      <c r="AC347" s="126"/>
      <c r="AD347" s="126"/>
      <c r="AE347" s="126"/>
      <c r="AF347" s="126"/>
      <c r="AG347" s="126"/>
      <c r="AH347" s="126"/>
      <c r="AI347" s="126"/>
      <c r="AJ347" s="126">
        <v>4</v>
      </c>
      <c r="AK347" s="126" t="s">
        <v>78</v>
      </c>
      <c r="AL347" s="126" t="str">
        <f>IF((L$12=AK347),AJ347,"")</f>
        <v/>
      </c>
      <c r="AM347" s="126" t="str">
        <f t="shared" si="152"/>
        <v/>
      </c>
      <c r="AN347" s="126"/>
      <c r="AO347" s="126"/>
      <c r="AP347" s="126"/>
      <c r="AQ347" s="126"/>
      <c r="AR347" s="126"/>
      <c r="AS347" s="126"/>
      <c r="AT347" s="126"/>
      <c r="AU347" s="126"/>
      <c r="AV347" s="126"/>
      <c r="AX347" s="126">
        <v>4</v>
      </c>
      <c r="AY347" s="126" t="s">
        <v>78</v>
      </c>
      <c r="AZ347" s="126" t="str">
        <f>IF((M$12=AY347),AX347,"")</f>
        <v/>
      </c>
      <c r="BA347" s="126" t="str">
        <f t="shared" si="153"/>
        <v/>
      </c>
      <c r="BB347" s="126"/>
      <c r="BC347" s="126"/>
      <c r="BD347" s="126"/>
      <c r="BE347" s="126"/>
      <c r="BF347" s="126"/>
      <c r="BG347" s="126"/>
      <c r="BH347" s="126"/>
      <c r="BI347" s="126"/>
      <c r="BL347" s="126"/>
      <c r="BM347" s="126"/>
    </row>
    <row r="348" spans="6:65" s="123" customFormat="1" hidden="1">
      <c r="F348" s="126">
        <v>5</v>
      </c>
      <c r="G348" s="126" t="s">
        <v>79</v>
      </c>
      <c r="H348" s="126" t="str">
        <f>IF((J$12=G348),F348,"")</f>
        <v/>
      </c>
      <c r="I348" s="126" t="str">
        <f t="shared" si="155"/>
        <v/>
      </c>
      <c r="J348" s="126"/>
      <c r="K348" s="126"/>
      <c r="L348" s="126"/>
      <c r="M348" s="126"/>
      <c r="N348" s="126"/>
      <c r="O348" s="126"/>
      <c r="P348" s="126"/>
      <c r="Q348" s="126"/>
      <c r="R348" s="126"/>
      <c r="S348" s="126"/>
      <c r="T348" s="126"/>
      <c r="V348" s="126">
        <v>5</v>
      </c>
      <c r="W348" s="126" t="s">
        <v>79</v>
      </c>
      <c r="X348" s="126" t="str">
        <f t="shared" ref="X348:X352" si="159">IF((K$12=W348),V348,"")</f>
        <v/>
      </c>
      <c r="Y348" s="126" t="str">
        <f t="shared" si="156"/>
        <v/>
      </c>
      <c r="Z348" s="126"/>
      <c r="AA348" s="126"/>
      <c r="AB348" s="126"/>
      <c r="AC348" s="126"/>
      <c r="AD348" s="126"/>
      <c r="AE348" s="126"/>
      <c r="AF348" s="126"/>
      <c r="AG348" s="126"/>
      <c r="AH348" s="126"/>
      <c r="AI348" s="126"/>
      <c r="AJ348" s="126">
        <v>5</v>
      </c>
      <c r="AK348" s="126" t="s">
        <v>79</v>
      </c>
      <c r="AL348" s="126" t="str">
        <f t="shared" si="157"/>
        <v/>
      </c>
      <c r="AM348" s="126" t="str">
        <f t="shared" si="152"/>
        <v/>
      </c>
      <c r="AN348" s="126"/>
      <c r="AO348" s="126"/>
      <c r="AP348" s="126"/>
      <c r="AQ348" s="126"/>
      <c r="AR348" s="126"/>
      <c r="AS348" s="126"/>
      <c r="AT348" s="126"/>
      <c r="AU348" s="126"/>
      <c r="AV348" s="126"/>
      <c r="AX348" s="126">
        <v>5</v>
      </c>
      <c r="AY348" s="126" t="s">
        <v>79</v>
      </c>
      <c r="AZ348" s="126" t="str">
        <f t="shared" si="158"/>
        <v/>
      </c>
      <c r="BA348" s="126" t="str">
        <f t="shared" si="153"/>
        <v/>
      </c>
      <c r="BB348" s="126"/>
      <c r="BC348" s="126"/>
      <c r="BD348" s="126"/>
      <c r="BE348" s="126"/>
      <c r="BF348" s="126"/>
      <c r="BG348" s="126"/>
      <c r="BH348" s="126"/>
      <c r="BI348" s="126"/>
      <c r="BL348" s="126"/>
      <c r="BM348" s="126"/>
    </row>
    <row r="349" spans="6:65" s="123" customFormat="1" hidden="1">
      <c r="F349" s="126">
        <v>6</v>
      </c>
      <c r="G349" s="126" t="s">
        <v>80</v>
      </c>
      <c r="H349" s="126" t="str">
        <f t="shared" si="154"/>
        <v/>
      </c>
      <c r="I349" s="126" t="str">
        <f t="shared" si="155"/>
        <v/>
      </c>
      <c r="J349" s="126"/>
      <c r="K349" s="126"/>
      <c r="L349" s="126"/>
      <c r="M349" s="126"/>
      <c r="N349" s="126"/>
      <c r="O349" s="126"/>
      <c r="P349" s="126"/>
      <c r="Q349" s="126"/>
      <c r="R349" s="126"/>
      <c r="S349" s="126"/>
      <c r="T349" s="126"/>
      <c r="V349" s="126">
        <v>6</v>
      </c>
      <c r="W349" s="126" t="s">
        <v>80</v>
      </c>
      <c r="X349" s="126" t="str">
        <f t="shared" si="159"/>
        <v/>
      </c>
      <c r="Y349" s="126" t="str">
        <f t="shared" si="156"/>
        <v/>
      </c>
      <c r="Z349" s="126"/>
      <c r="AA349" s="126"/>
      <c r="AB349" s="126"/>
      <c r="AC349" s="126"/>
      <c r="AD349" s="126"/>
      <c r="AE349" s="126"/>
      <c r="AF349" s="126"/>
      <c r="AG349" s="126"/>
      <c r="AH349" s="126"/>
      <c r="AI349" s="126"/>
      <c r="AJ349" s="126">
        <v>6</v>
      </c>
      <c r="AK349" s="126" t="s">
        <v>80</v>
      </c>
      <c r="AL349" s="126" t="str">
        <f t="shared" si="157"/>
        <v/>
      </c>
      <c r="AM349" s="126" t="str">
        <f>IFERROR(SMALL(AL$344:AL$351,AJ349),"")</f>
        <v/>
      </c>
      <c r="AN349" s="126"/>
      <c r="AO349" s="126"/>
      <c r="AP349" s="126"/>
      <c r="AQ349" s="126"/>
      <c r="AR349" s="126"/>
      <c r="AS349" s="126"/>
      <c r="AT349" s="126"/>
      <c r="AU349" s="126"/>
      <c r="AV349" s="126"/>
      <c r="AX349" s="126">
        <v>6</v>
      </c>
      <c r="AY349" s="126" t="s">
        <v>80</v>
      </c>
      <c r="AZ349" s="126" t="str">
        <f t="shared" si="158"/>
        <v/>
      </c>
      <c r="BA349" s="126" t="str">
        <f>IFERROR(SMALL(AZ$344:AZ$351,AX349),"")</f>
        <v/>
      </c>
      <c r="BB349" s="126"/>
      <c r="BC349" s="126"/>
      <c r="BD349" s="126"/>
      <c r="BE349" s="126"/>
      <c r="BF349" s="126"/>
      <c r="BG349" s="126"/>
      <c r="BH349" s="126"/>
      <c r="BI349" s="126"/>
      <c r="BL349" s="126"/>
      <c r="BM349" s="126"/>
    </row>
    <row r="350" spans="6:65" s="123" customFormat="1" hidden="1">
      <c r="F350" s="126">
        <v>7</v>
      </c>
      <c r="G350" s="126" t="s">
        <v>81</v>
      </c>
      <c r="H350" s="126" t="str">
        <f t="shared" si="154"/>
        <v/>
      </c>
      <c r="I350" s="126" t="str">
        <f t="shared" si="155"/>
        <v/>
      </c>
      <c r="J350" s="126"/>
      <c r="K350" s="126"/>
      <c r="L350" s="126"/>
      <c r="M350" s="126"/>
      <c r="N350" s="126"/>
      <c r="O350" s="126"/>
      <c r="P350" s="126"/>
      <c r="Q350" s="126"/>
      <c r="R350" s="126"/>
      <c r="S350" s="126"/>
      <c r="T350" s="126"/>
      <c r="V350" s="126">
        <v>7</v>
      </c>
      <c r="W350" s="126" t="s">
        <v>81</v>
      </c>
      <c r="X350" s="126" t="str">
        <f t="shared" si="159"/>
        <v/>
      </c>
      <c r="Y350" s="126" t="str">
        <f t="shared" si="156"/>
        <v/>
      </c>
      <c r="Z350" s="126"/>
      <c r="AA350" s="126"/>
      <c r="AB350" s="126"/>
      <c r="AC350" s="126"/>
      <c r="AD350" s="126"/>
      <c r="AE350" s="126"/>
      <c r="AF350" s="126"/>
      <c r="AG350" s="126"/>
      <c r="AH350" s="126"/>
      <c r="AI350" s="126"/>
      <c r="AJ350" s="126">
        <v>7</v>
      </c>
      <c r="AK350" s="126" t="s">
        <v>81</v>
      </c>
      <c r="AL350" s="126" t="str">
        <f t="shared" si="157"/>
        <v/>
      </c>
      <c r="AM350" s="126" t="str">
        <f t="shared" si="152"/>
        <v/>
      </c>
      <c r="AN350" s="126"/>
      <c r="AO350" s="126"/>
      <c r="AP350" s="126"/>
      <c r="AQ350" s="126"/>
      <c r="AR350" s="126"/>
      <c r="AS350" s="126"/>
      <c r="AT350" s="126"/>
      <c r="AU350" s="126"/>
      <c r="AV350" s="126"/>
      <c r="AX350" s="126">
        <v>7</v>
      </c>
      <c r="AY350" s="126" t="s">
        <v>81</v>
      </c>
      <c r="AZ350" s="126" t="str">
        <f t="shared" si="158"/>
        <v/>
      </c>
      <c r="BA350" s="126" t="str">
        <f t="shared" si="153"/>
        <v/>
      </c>
      <c r="BB350" s="126"/>
      <c r="BC350" s="126"/>
      <c r="BD350" s="126"/>
      <c r="BE350" s="126"/>
      <c r="BF350" s="126"/>
      <c r="BG350" s="126"/>
      <c r="BH350" s="126"/>
      <c r="BI350" s="126"/>
      <c r="BL350" s="126"/>
      <c r="BM350" s="126"/>
    </row>
    <row r="351" spans="6:65" s="123" customFormat="1" hidden="1">
      <c r="F351" s="126">
        <v>8</v>
      </c>
      <c r="G351" s="126" t="s">
        <v>82</v>
      </c>
      <c r="H351" s="126" t="str">
        <f t="shared" si="154"/>
        <v/>
      </c>
      <c r="I351" s="126" t="str">
        <f t="shared" si="155"/>
        <v/>
      </c>
      <c r="J351" s="126"/>
      <c r="K351" s="126"/>
      <c r="L351" s="126"/>
      <c r="M351" s="126"/>
      <c r="N351" s="126"/>
      <c r="O351" s="126"/>
      <c r="P351" s="126"/>
      <c r="Q351" s="126"/>
      <c r="R351" s="126"/>
      <c r="S351" s="126"/>
      <c r="T351" s="126"/>
      <c r="V351" s="126">
        <v>8</v>
      </c>
      <c r="W351" s="126" t="s">
        <v>82</v>
      </c>
      <c r="X351" s="126" t="str">
        <f t="shared" si="159"/>
        <v/>
      </c>
      <c r="Y351" s="126" t="str">
        <f t="shared" si="156"/>
        <v/>
      </c>
      <c r="Z351" s="126"/>
      <c r="AA351" s="126"/>
      <c r="AB351" s="126"/>
      <c r="AC351" s="126"/>
      <c r="AD351" s="126"/>
      <c r="AE351" s="126"/>
      <c r="AF351" s="126"/>
      <c r="AG351" s="126"/>
      <c r="AH351" s="126"/>
      <c r="AI351" s="126"/>
      <c r="AJ351" s="126">
        <v>8</v>
      </c>
      <c r="AK351" s="126" t="s">
        <v>82</v>
      </c>
      <c r="AL351" s="126" t="str">
        <f t="shared" si="157"/>
        <v/>
      </c>
      <c r="AM351" s="126" t="str">
        <f t="shared" si="152"/>
        <v/>
      </c>
      <c r="AN351" s="126"/>
      <c r="AO351" s="126"/>
      <c r="AP351" s="126"/>
      <c r="AQ351" s="126"/>
      <c r="AR351" s="126"/>
      <c r="AS351" s="126"/>
      <c r="AT351" s="126"/>
      <c r="AU351" s="126"/>
      <c r="AV351" s="126"/>
      <c r="AX351" s="126">
        <v>8</v>
      </c>
      <c r="AY351" s="126" t="s">
        <v>82</v>
      </c>
      <c r="AZ351" s="126" t="str">
        <f t="shared" si="158"/>
        <v/>
      </c>
      <c r="BA351" s="126" t="str">
        <f t="shared" si="153"/>
        <v/>
      </c>
      <c r="BB351" s="126"/>
      <c r="BC351" s="126"/>
      <c r="BD351" s="126"/>
      <c r="BE351" s="126"/>
      <c r="BF351" s="126"/>
      <c r="BG351" s="126"/>
      <c r="BH351" s="126"/>
      <c r="BI351" s="126"/>
      <c r="BL351" s="126"/>
      <c r="BM351" s="126"/>
    </row>
    <row r="352" spans="6:65" s="123" customFormat="1" hidden="1">
      <c r="F352" s="126">
        <v>9</v>
      </c>
      <c r="G352" s="133" t="s">
        <v>13</v>
      </c>
      <c r="I352" s="126" t="str">
        <f t="shared" si="155"/>
        <v/>
      </c>
      <c r="X352" s="126" t="str">
        <f t="shared" si="159"/>
        <v/>
      </c>
    </row>
    <row r="353" spans="6:65" hidden="1">
      <c r="F353" s="2"/>
      <c r="G353" s="17"/>
    </row>
    <row r="354" spans="6:65" hidden="1">
      <c r="H354" s="2" t="str">
        <f>IF((J$10=G342),F342,"")</f>
        <v/>
      </c>
      <c r="I354" s="2" t="str">
        <f>IFERROR(SMALL(G$334:G$341,F342),"")</f>
        <v/>
      </c>
      <c r="J354" s="12" t="s">
        <v>69</v>
      </c>
      <c r="K354" s="2" t="s">
        <v>58</v>
      </c>
      <c r="L354" s="2" t="s">
        <v>58</v>
      </c>
      <c r="M354" s="12" t="s">
        <v>59</v>
      </c>
      <c r="N354" s="2" t="s">
        <v>60</v>
      </c>
      <c r="O354" s="2" t="s">
        <v>61</v>
      </c>
      <c r="P354" s="2" t="s">
        <v>62</v>
      </c>
      <c r="Q354" s="2"/>
      <c r="R354" s="2"/>
      <c r="S354" s="2"/>
      <c r="T354" s="2"/>
      <c r="V354" s="2">
        <v>9</v>
      </c>
      <c r="W354" s="17" t="s">
        <v>13</v>
      </c>
      <c r="X354" s="2" t="str">
        <f>IF((K$10=W354),V354,"")</f>
        <v/>
      </c>
      <c r="Y354" s="2" t="str">
        <f>IFERROR(SMALL(W$334:W$341,V354),"")</f>
        <v/>
      </c>
      <c r="Z354" s="12" t="s">
        <v>69</v>
      </c>
      <c r="AA354" s="2" t="s">
        <v>58</v>
      </c>
      <c r="AB354" s="2" t="s">
        <v>58</v>
      </c>
      <c r="AC354" s="12" t="s">
        <v>59</v>
      </c>
      <c r="AD354" s="2" t="s">
        <v>60</v>
      </c>
      <c r="AE354" s="2" t="s">
        <v>61</v>
      </c>
      <c r="AF354" s="2" t="s">
        <v>62</v>
      </c>
      <c r="AG354" s="2"/>
      <c r="AH354" s="2"/>
      <c r="AI354" s="2"/>
      <c r="AJ354" s="2"/>
      <c r="AK354" s="2"/>
      <c r="AL354" s="2"/>
      <c r="AM354" s="2"/>
      <c r="AN354" s="12" t="s">
        <v>69</v>
      </c>
      <c r="AO354" s="2" t="s">
        <v>58</v>
      </c>
      <c r="AP354" s="2" t="s">
        <v>58</v>
      </c>
      <c r="AQ354" s="12" t="s">
        <v>59</v>
      </c>
      <c r="AR354" s="2" t="s">
        <v>60</v>
      </c>
      <c r="AS354" s="2" t="s">
        <v>61</v>
      </c>
      <c r="AT354" s="2" t="s">
        <v>62</v>
      </c>
      <c r="AU354" s="2"/>
      <c r="AV354" s="2"/>
      <c r="AX354" s="2"/>
      <c r="AY354" s="2"/>
      <c r="AZ354" s="2"/>
      <c r="BA354" s="2"/>
      <c r="BB354" s="12" t="s">
        <v>69</v>
      </c>
      <c r="BC354" s="2" t="s">
        <v>58</v>
      </c>
      <c r="BD354" s="2" t="s">
        <v>58</v>
      </c>
      <c r="BE354" s="12" t="s">
        <v>59</v>
      </c>
      <c r="BF354" s="2" t="s">
        <v>60</v>
      </c>
      <c r="BG354" s="2" t="s">
        <v>61</v>
      </c>
      <c r="BH354" s="2" t="s">
        <v>62</v>
      </c>
      <c r="BI354" s="2"/>
      <c r="BL354" s="2" t="s">
        <v>62</v>
      </c>
      <c r="BM354" s="2"/>
    </row>
    <row r="355" spans="6:65" hidden="1">
      <c r="F355" s="11">
        <v>1</v>
      </c>
      <c r="G355" s="10" t="s">
        <v>89</v>
      </c>
      <c r="H355" s="9"/>
      <c r="I355" s="8"/>
      <c r="J355" s="7">
        <v>0.19525000000000001</v>
      </c>
      <c r="K355" s="3" t="str">
        <f>IF((J$9=G355),F355,"")</f>
        <v/>
      </c>
      <c r="L355" s="7" t="str">
        <f>IFERROR(SMALL(K$355:K$357,F355),"")</f>
        <v/>
      </c>
      <c r="M355" s="7">
        <v>495</v>
      </c>
      <c r="N355" s="7" t="b">
        <f>IF(L$355=F355,J$13*(M355*J355))</f>
        <v>0</v>
      </c>
      <c r="O355" s="7" t="b">
        <f>IF(L$355=F355,J$14*(M355*J355))</f>
        <v>0</v>
      </c>
      <c r="P355" s="7">
        <f>N355-O355</f>
        <v>0</v>
      </c>
      <c r="Q355" s="2"/>
      <c r="R355" s="2"/>
      <c r="S355" s="2"/>
      <c r="T355" s="2"/>
      <c r="V355" s="11">
        <v>1</v>
      </c>
      <c r="W355" s="10" t="s">
        <v>89</v>
      </c>
      <c r="X355" s="9"/>
      <c r="Y355" s="8"/>
      <c r="Z355" s="7">
        <v>0.19525000000000001</v>
      </c>
      <c r="AA355" s="3" t="str">
        <f>IF((K$9=W355),V355,"")</f>
        <v/>
      </c>
      <c r="AB355" s="7" t="str">
        <f>IFERROR(SMALL(AA$355:AA$357,V355),"")</f>
        <v/>
      </c>
      <c r="AC355" s="7">
        <v>495</v>
      </c>
      <c r="AD355" s="7" t="b">
        <f>IF(AB$355=V355,K$13*(AC355*Z355))</f>
        <v>0</v>
      </c>
      <c r="AE355" s="7" t="b">
        <f>IF(AB$355=V355,K$14*(AC355*Z355))</f>
        <v>0</v>
      </c>
      <c r="AF355" s="7">
        <f>AD355-AE355</f>
        <v>0</v>
      </c>
      <c r="AG355" s="2"/>
      <c r="AH355" s="2"/>
      <c r="AI355" s="2"/>
      <c r="AJ355" s="11">
        <v>1</v>
      </c>
      <c r="AK355" s="10" t="s">
        <v>89</v>
      </c>
      <c r="AL355" s="9"/>
      <c r="AM355" s="8"/>
      <c r="AN355" s="7">
        <v>0.19525000000000001</v>
      </c>
      <c r="AO355" s="3" t="str">
        <f>IF((L$9=AK355),AJ355,"")</f>
        <v/>
      </c>
      <c r="AP355" s="7" t="str">
        <f>IFERROR(SMALL(AO$355:AO$357,AJ355),"")</f>
        <v/>
      </c>
      <c r="AQ355" s="7">
        <v>495</v>
      </c>
      <c r="AR355" s="7" t="b">
        <f>IF(AP$355=AJ355,L$13*(AQ355*AN355))</f>
        <v>0</v>
      </c>
      <c r="AS355" s="7" t="b">
        <f>IF(AP$355=AJ355,L$14*(AQ355*AN355))</f>
        <v>0</v>
      </c>
      <c r="AT355" s="7">
        <f>AR355-AS355</f>
        <v>0</v>
      </c>
      <c r="AU355" s="2"/>
      <c r="AV355" s="2"/>
      <c r="AX355" s="11">
        <v>1</v>
      </c>
      <c r="AY355" s="10" t="s">
        <v>89</v>
      </c>
      <c r="AZ355" s="9"/>
      <c r="BA355" s="8"/>
      <c r="BB355" s="7">
        <v>0.19525000000000001</v>
      </c>
      <c r="BC355" s="3" t="str">
        <f>IF((M$9=AY355),AX355,"")</f>
        <v/>
      </c>
      <c r="BD355" s="7" t="str">
        <f>IFERROR(SMALL(BC$355:BC$357,AX355),"")</f>
        <v/>
      </c>
      <c r="BE355" s="7">
        <v>495</v>
      </c>
      <c r="BF355" s="7" t="b">
        <f>IF(BD$355=AX355,M$13*(BE355*BB355))</f>
        <v>0</v>
      </c>
      <c r="BG355" s="7" t="b">
        <f>IF(BD$355=AX355,M$14*(BE355*BB355))</f>
        <v>0</v>
      </c>
      <c r="BH355" s="7">
        <f>BF355-BG355</f>
        <v>0</v>
      </c>
      <c r="BI355" s="2"/>
      <c r="BL355" s="7" t="e">
        <f>#REF!-#REF!</f>
        <v>#REF!</v>
      </c>
      <c r="BM355" s="2"/>
    </row>
    <row r="356" spans="6:65" hidden="1">
      <c r="F356" s="2">
        <v>2</v>
      </c>
      <c r="G356" s="6" t="s">
        <v>156</v>
      </c>
      <c r="H356" s="5"/>
      <c r="I356" s="4"/>
      <c r="J356" s="3" t="str">
        <f>IF(I334=1,0.29457, IF(I334=2, 0.706, IF(I334=3, 0.463, IF(I334=4, 0.409, IF(I334=5, 0.022, IF(I334=6, 0.022, IF(I334=7, 0.22, IF(I334=8, 0.22,""))))))))</f>
        <v/>
      </c>
      <c r="K356" s="3" t="str">
        <f>IF((J$9=G356),F356,"")</f>
        <v/>
      </c>
      <c r="L356" s="3" t="str">
        <f>IFERROR(SMALL(K$355:K$357,F356),"")</f>
        <v/>
      </c>
      <c r="M356" s="3">
        <v>301</v>
      </c>
      <c r="N356" s="3" t="b">
        <f>IF(L$355=F356,IF(J$8=G$68,J$13*J356*45366, IF(J$8=G$69, J$13*J356*31130)))</f>
        <v>0</v>
      </c>
      <c r="O356" s="7" t="b">
        <f>IF(L$355=F356,J$14*J356*45366)</f>
        <v>0</v>
      </c>
      <c r="P356" s="3">
        <f>(((N356-O356)/1000)*0.000001)*J$7</f>
        <v>0</v>
      </c>
      <c r="Q356" s="2" t="s">
        <v>64</v>
      </c>
      <c r="R356" s="2"/>
      <c r="S356" s="2"/>
      <c r="T356" s="2"/>
      <c r="V356" s="2">
        <v>2</v>
      </c>
      <c r="W356" s="6" t="s">
        <v>156</v>
      </c>
      <c r="X356" s="5"/>
      <c r="Y356" s="4"/>
      <c r="Z356" s="3" t="str">
        <f>IF(Y334=1,0.29457, IF(Y334=2, 0.706, IF(Y334=3, 0.463, IF(Y334=4, 0.409, IF(Y334=5, 0.022, IF(Y334=6, 0.022, IF(Y334=7, 0.22, IF(Y334=8, 0.22,""))))))))</f>
        <v/>
      </c>
      <c r="AA356" s="3" t="str">
        <f>IF((K$9=W356),V356,"")</f>
        <v/>
      </c>
      <c r="AB356" s="3" t="str">
        <f>IFERROR(SMALL(AA$355:AA$357,V356),"")</f>
        <v/>
      </c>
      <c r="AC356" s="3">
        <v>301</v>
      </c>
      <c r="AD356" s="3" t="b">
        <f>IF(AB$355=V356,IF(K$8=W$68,K$13*Z356*45366, IF(K$8=W$69,K$13*Z356*31130)))</f>
        <v>0</v>
      </c>
      <c r="AE356" s="7" t="b">
        <f>IF(AB$355=V356,K$14*Z356*45366)</f>
        <v>0</v>
      </c>
      <c r="AF356" s="3">
        <f>(((AD356-AE356)/1000)*0.000001)*K$7</f>
        <v>0</v>
      </c>
      <c r="AG356" s="2" t="s">
        <v>64</v>
      </c>
      <c r="AH356" s="2"/>
      <c r="AI356" s="2"/>
      <c r="AJ356" s="2">
        <v>2</v>
      </c>
      <c r="AK356" s="6" t="s">
        <v>156</v>
      </c>
      <c r="AL356" s="5"/>
      <c r="AM356" s="4"/>
      <c r="AN356" s="3" t="str">
        <f>IF(AM334=1,0.29457, IF(AM334=2, 0.706, IF(AM334=3, 0.463, IF(AM334=4, 0.409, IF(AM334=5, 0.022, IF(AM334=6, 0.022, IF(AM334=7, 0.22, IF(AM334=8, 0.22,""))))))))</f>
        <v/>
      </c>
      <c r="AO356" s="3" t="str">
        <f>IF((L$9=AK356),AJ356,"")</f>
        <v/>
      </c>
      <c r="AP356" s="3" t="str">
        <f>IFERROR(SMALL(AO$355:AO$357,AJ356),"")</f>
        <v/>
      </c>
      <c r="AQ356" s="3">
        <v>301</v>
      </c>
      <c r="AR356" s="3" t="b">
        <f>IF(AP$355=AJ356,IF(L$8=AK$68,L$13*AN356*45366,IF(L$8=AK$69,L$13*AN356*31130)))</f>
        <v>0</v>
      </c>
      <c r="AS356" s="7" t="b">
        <f>IF(AP$355=AJ356,L$14*AN356*45366)</f>
        <v>0</v>
      </c>
      <c r="AT356" s="3">
        <f>(((AR356-AS356)/1000)*0.000001)*L$7</f>
        <v>0</v>
      </c>
      <c r="AU356" s="2" t="s">
        <v>64</v>
      </c>
      <c r="AV356" s="2"/>
      <c r="AX356" s="2">
        <v>2</v>
      </c>
      <c r="AY356" s="6" t="s">
        <v>156</v>
      </c>
      <c r="AZ356" s="5"/>
      <c r="BA356" s="4"/>
      <c r="BB356" s="3" t="str">
        <f>IF(BA334=1,0.29457, IF(BA334=2, 0.706, IF(BA334=3, 0.463, IF(BA334=4, 0.409, IF(BA334=5, 0.022, IF(BA334=6, 0.022, IF(BA334=7, 0.22, IF(BA334=8, 0.22,""))))))))</f>
        <v/>
      </c>
      <c r="BC356" s="3" t="str">
        <f>IF((M$9=AY356),AX356,"")</f>
        <v/>
      </c>
      <c r="BD356" s="3" t="str">
        <f>IFERROR(SMALL(BC$355:BC$357,AX356),"")</f>
        <v/>
      </c>
      <c r="BE356" s="3">
        <v>301</v>
      </c>
      <c r="BF356" s="3" t="b">
        <f>IF(BD$355=AX356,IF(M$8=AY$68,M$13*BB356*45366,IF(M$8=AY$69,M$13*BB356*31130)))</f>
        <v>0</v>
      </c>
      <c r="BG356" s="7" t="b">
        <f>IF(BD$355=AX356,M$14*BB356*45366)</f>
        <v>0</v>
      </c>
      <c r="BH356" s="3">
        <f>(((BF356-BG356)/1000)*0.000001)*M$7</f>
        <v>0</v>
      </c>
      <c r="BI356" s="2" t="s">
        <v>64</v>
      </c>
      <c r="BL356" s="3" t="e">
        <f>((((#REF!-#REF!)/1000)*45366)*0.000001)*O7</f>
        <v>#REF!</v>
      </c>
      <c r="BM356" s="2" t="s">
        <v>64</v>
      </c>
    </row>
    <row r="357" spans="6:65" hidden="1">
      <c r="F357" s="2">
        <v>3</v>
      </c>
      <c r="G357" s="6" t="s">
        <v>157</v>
      </c>
      <c r="H357" s="5"/>
      <c r="I357" s="4"/>
      <c r="J357" s="3" t="str">
        <f>IF(I334=1,0.26042, IF(I334=2, 0.624, IF(I334=3, 0.416, IF(I334=4, 0.399, IF(I334=5, 0.029, IF(I334=6, 0.021, IF(I334=7, 0.021, IF(I334=8, 0.021,""))))))))</f>
        <v/>
      </c>
      <c r="K357" s="3" t="str">
        <f>IF((J$9=G357),F357,"")</f>
        <v/>
      </c>
      <c r="L357" s="3" t="str">
        <f>IFERROR(SMALL(K$355:K$357,F357),"")</f>
        <v/>
      </c>
      <c r="M357" s="3">
        <v>247</v>
      </c>
      <c r="N357" s="3" t="b">
        <f>IF(L$355=F357,IF(J$8=G$68,J$13*J357*45366, IF(J$8=G$69, J$13*J357*31130)))</f>
        <v>0</v>
      </c>
      <c r="O357" s="7" t="b">
        <f>IF(L$355=F357,J$14*J357*45366)</f>
        <v>0</v>
      </c>
      <c r="P357" s="3">
        <f>(((N357-O357)/1000)*0.000001)*J$7</f>
        <v>0</v>
      </c>
      <c r="Q357" s="2" t="s">
        <v>64</v>
      </c>
      <c r="R357" s="2"/>
      <c r="S357" s="2"/>
      <c r="T357" s="2"/>
      <c r="V357" s="2">
        <v>3</v>
      </c>
      <c r="W357" s="6" t="s">
        <v>157</v>
      </c>
      <c r="X357" s="5"/>
      <c r="Y357" s="4"/>
      <c r="Z357" s="3" t="str">
        <f>IF(Y334=1,0.26042, IF(Y334=2, 0.624, IF(Y334=3, 0.416, IF(Y334=4, 0.399, IF(Y334=5, 0.029, IF(Y334=6, 0.021, IF(Y334=7, 0.021, IF(Y334=8, 0.021,""))))))))</f>
        <v/>
      </c>
      <c r="AA357" s="3" t="str">
        <f>IF((K$9=W357),V357,"")</f>
        <v/>
      </c>
      <c r="AB357" s="3" t="str">
        <f>IFERROR(SMALL(AA$355:AA$357,V357),"")</f>
        <v/>
      </c>
      <c r="AC357" s="3">
        <v>247</v>
      </c>
      <c r="AD357" s="3" t="b">
        <f>IF(AB$355=V357,IF(K$8=W$68,K$13*Z357*45366, IF(K$8=W$69,K$13*Z357*31130)))</f>
        <v>0</v>
      </c>
      <c r="AE357" s="7" t="b">
        <f>IF(AB$355=V357,K$14*Z357*45366)</f>
        <v>0</v>
      </c>
      <c r="AF357" s="3">
        <f>(((AD357-AE357)/1000)*0.000001)*K$7</f>
        <v>0</v>
      </c>
      <c r="AG357" s="2" t="s">
        <v>64</v>
      </c>
      <c r="AH357" s="2"/>
      <c r="AI357" s="2"/>
      <c r="AJ357" s="2">
        <v>3</v>
      </c>
      <c r="AK357" s="6" t="s">
        <v>157</v>
      </c>
      <c r="AL357" s="5"/>
      <c r="AM357" s="4"/>
      <c r="AN357" s="3" t="str">
        <f>IF(AM334=1,0.26042, IF(AM334=2, 0.624, IF(AM334=3, 0.416, IF(AM334=4, 0.399, IF(AM334=5, 0.029, IF(AM334=6, 0.021, IF(AM334=7, 0.021, IF(AM334=8, 0.021,""))))))))</f>
        <v/>
      </c>
      <c r="AO357" s="3" t="str">
        <f t="shared" ref="AO357" si="160">IF((L$9=AK357),AJ357,"")</f>
        <v/>
      </c>
      <c r="AP357" s="3" t="str">
        <f>IFERROR(SMALL(AO$355:AO$357,AJ357),"")</f>
        <v/>
      </c>
      <c r="AQ357" s="3">
        <v>247</v>
      </c>
      <c r="AR357" s="3" t="b">
        <f>IF(AP$355=AJ357,IF(L$8=AK$68,L$13*AN357*45366,IF(L$8=AK$69,L$13*AN357*31130)))</f>
        <v>0</v>
      </c>
      <c r="AS357" s="7" t="b">
        <f>IF(AP$355=AJ357,L$14*AN357*45366)</f>
        <v>0</v>
      </c>
      <c r="AT357" s="3">
        <f>(((AR357-AS357)/1000)*0.000001)*L$7</f>
        <v>0</v>
      </c>
      <c r="AU357" s="2" t="s">
        <v>64</v>
      </c>
      <c r="AV357" s="2"/>
      <c r="AX357" s="2">
        <v>3</v>
      </c>
      <c r="AY357" s="6" t="s">
        <v>157</v>
      </c>
      <c r="AZ357" s="5"/>
      <c r="BA357" s="4"/>
      <c r="BB357" s="3" t="str">
        <f>IF(BA334=1,0.26042, IF(BA334=2, 0.624, IF(BA334=3, 0.416, IF(BA334=4, 0.399, IF(BA334=5, 0.029, IF(BA334=6, 0.021, IF(BA334=7, 0.021, IF(BA334=8, 0.021,""))))))))</f>
        <v/>
      </c>
      <c r="BC357" s="3" t="str">
        <f>IF((M$9=AY357),AX357,"")</f>
        <v/>
      </c>
      <c r="BD357" s="3" t="str">
        <f>IFERROR(SMALL(BC$355:BC$357,AX357),"")</f>
        <v/>
      </c>
      <c r="BE357" s="3">
        <v>247</v>
      </c>
      <c r="BF357" s="3" t="b">
        <f>IF(BD$355=AX357,IF(M$8=AY$68,M$13*BB357*45366,IF(M$8=AY$69,M$13*BB357*31130)))</f>
        <v>0</v>
      </c>
      <c r="BG357" s="7" t="b">
        <f>IF(BD$355=AX357,M$14*BB357*45366)</f>
        <v>0</v>
      </c>
      <c r="BH357" s="3">
        <f>(((BF357-BG357)/1000)*0.000001)*M$7</f>
        <v>0</v>
      </c>
      <c r="BI357" s="2" t="s">
        <v>64</v>
      </c>
      <c r="BL357" s="3" t="e">
        <f>((((#REF!-#REF!)/1000)*45366)*0.000001)*O7</f>
        <v>#REF!</v>
      </c>
      <c r="BM357" s="2" t="s">
        <v>64</v>
      </c>
    </row>
    <row r="358" spans="6:65" hidden="1">
      <c r="F358" s="2">
        <v>4</v>
      </c>
      <c r="G358" s="17" t="s">
        <v>13</v>
      </c>
      <c r="H358" s="2"/>
      <c r="I358" s="2"/>
      <c r="J358" s="2"/>
      <c r="K358" s="2"/>
      <c r="L358" s="2"/>
      <c r="M358" s="2"/>
      <c r="N358" s="2"/>
      <c r="O358" s="2"/>
      <c r="P358" s="2"/>
      <c r="Q358" s="2"/>
      <c r="R358" s="2"/>
      <c r="S358" s="2"/>
      <c r="T358" s="2"/>
      <c r="V358" s="2"/>
      <c r="W358" s="2"/>
      <c r="X358" s="2"/>
      <c r="Y358" s="2"/>
      <c r="Z358" s="2"/>
      <c r="AA358" s="2"/>
      <c r="AB358" s="2"/>
      <c r="AC358" s="2"/>
      <c r="AD358" s="2"/>
      <c r="AE358" s="2"/>
      <c r="AF358" s="2"/>
      <c r="AG358" s="2"/>
      <c r="AH358" s="2"/>
      <c r="AI358" s="2"/>
      <c r="AJ358" s="2"/>
      <c r="AK358" s="2"/>
      <c r="AL358" s="2"/>
      <c r="AM358" s="2"/>
      <c r="AN358" s="2"/>
      <c r="AO358" s="2"/>
      <c r="AP358" s="2"/>
      <c r="AQ358" s="2"/>
      <c r="AR358" s="2"/>
      <c r="AS358" s="2"/>
      <c r="AT358" s="2"/>
      <c r="AU358" s="2"/>
      <c r="AV358" s="2"/>
      <c r="AX358" s="2"/>
      <c r="AY358" s="2"/>
      <c r="AZ358" s="2"/>
      <c r="BA358" s="2"/>
      <c r="BB358" s="2"/>
      <c r="BC358" s="2"/>
      <c r="BD358" s="2"/>
      <c r="BE358" s="2"/>
      <c r="BF358" s="2"/>
      <c r="BG358" s="2"/>
      <c r="BH358" s="2"/>
      <c r="BI358" s="2"/>
      <c r="BL358" s="2"/>
      <c r="BM358" s="2"/>
    </row>
    <row r="359" spans="6:65" hidden="1">
      <c r="F359" s="2"/>
      <c r="G359" s="17"/>
      <c r="H359" s="2"/>
      <c r="I359" s="2"/>
      <c r="J359" s="2"/>
      <c r="K359" s="2"/>
      <c r="L359" s="2"/>
      <c r="M359" s="2"/>
      <c r="N359" s="2"/>
      <c r="O359" s="2"/>
      <c r="P359" s="2"/>
      <c r="Q359" s="2"/>
      <c r="R359" s="2"/>
      <c r="S359" s="2"/>
      <c r="T359" s="2"/>
      <c r="V359" s="2"/>
      <c r="W359" s="2"/>
      <c r="X359" s="2"/>
      <c r="Y359" s="2"/>
      <c r="Z359" s="2"/>
      <c r="AA359" s="2"/>
      <c r="AB359" s="2"/>
      <c r="AC359" s="2"/>
      <c r="AD359" s="2"/>
      <c r="AE359" s="2"/>
      <c r="AF359" s="2"/>
      <c r="AG359" s="2"/>
      <c r="AH359" s="2"/>
      <c r="AI359" s="2"/>
      <c r="AJ359" s="2"/>
      <c r="AK359" s="2"/>
      <c r="AL359" s="2"/>
      <c r="AM359" s="2"/>
      <c r="AN359" s="2"/>
      <c r="AO359" s="2"/>
      <c r="AP359" s="2"/>
      <c r="AQ359" s="2"/>
      <c r="AR359" s="2"/>
      <c r="AS359" s="2"/>
      <c r="AT359" s="2"/>
      <c r="AU359" s="2"/>
      <c r="AV359" s="2"/>
      <c r="AX359" s="2"/>
      <c r="AY359" s="2"/>
      <c r="AZ359" s="2"/>
      <c r="BA359" s="2"/>
      <c r="BB359" s="2"/>
      <c r="BC359" s="2"/>
      <c r="BD359" s="2"/>
      <c r="BE359" s="2"/>
      <c r="BF359" s="2"/>
      <c r="BG359" s="2"/>
      <c r="BH359" s="2"/>
      <c r="BI359" s="2"/>
      <c r="BL359" s="2"/>
      <c r="BM359" s="2"/>
    </row>
    <row r="360" spans="6:65" s="123" customFormat="1" hidden="1">
      <c r="H360" s="126" t="str">
        <f>IF((J$10=G359),F359,"")</f>
        <v/>
      </c>
      <c r="I360" s="126" t="str">
        <f>IFERROR(SMALL(G$334:G$341,F359),"")</f>
        <v/>
      </c>
      <c r="J360" s="127" t="s">
        <v>69</v>
      </c>
      <c r="K360" s="126" t="s">
        <v>58</v>
      </c>
      <c r="L360" s="126" t="s">
        <v>58</v>
      </c>
      <c r="M360" s="127" t="s">
        <v>59</v>
      </c>
      <c r="N360" s="126" t="s">
        <v>60</v>
      </c>
      <c r="O360" s="126" t="s">
        <v>61</v>
      </c>
      <c r="P360" s="126" t="s">
        <v>62</v>
      </c>
      <c r="Q360" s="126"/>
      <c r="R360" s="126"/>
      <c r="S360" s="126"/>
      <c r="T360" s="126"/>
      <c r="V360" s="126">
        <v>9</v>
      </c>
      <c r="W360" s="133" t="s">
        <v>13</v>
      </c>
      <c r="X360" s="126" t="str">
        <f>IF((K$10=W360),V360,"")</f>
        <v/>
      </c>
      <c r="Y360" s="126" t="str">
        <f>IFERROR(SMALL(W$334:W$341,V360),"")</f>
        <v/>
      </c>
      <c r="Z360" s="127" t="s">
        <v>69</v>
      </c>
      <c r="AA360" s="126" t="s">
        <v>58</v>
      </c>
      <c r="AB360" s="126" t="s">
        <v>58</v>
      </c>
      <c r="AC360" s="127" t="s">
        <v>59</v>
      </c>
      <c r="AD360" s="126" t="s">
        <v>60</v>
      </c>
      <c r="AE360" s="126" t="s">
        <v>61</v>
      </c>
      <c r="AF360" s="126" t="s">
        <v>62</v>
      </c>
      <c r="AG360" s="126"/>
      <c r="AH360" s="126"/>
      <c r="AI360" s="126"/>
      <c r="AJ360" s="126"/>
      <c r="AK360" s="126"/>
      <c r="AL360" s="126"/>
      <c r="AM360" s="126"/>
      <c r="AN360" s="127" t="s">
        <v>69</v>
      </c>
      <c r="AO360" s="126" t="s">
        <v>58</v>
      </c>
      <c r="AP360" s="126" t="s">
        <v>58</v>
      </c>
      <c r="AQ360" s="127" t="s">
        <v>59</v>
      </c>
      <c r="AR360" s="126" t="s">
        <v>60</v>
      </c>
      <c r="AS360" s="126" t="s">
        <v>61</v>
      </c>
      <c r="AT360" s="126" t="s">
        <v>62</v>
      </c>
      <c r="AU360" s="126"/>
      <c r="AV360" s="126"/>
      <c r="AX360" s="126"/>
      <c r="AY360" s="126"/>
      <c r="AZ360" s="126"/>
      <c r="BA360" s="126"/>
      <c r="BB360" s="127" t="s">
        <v>69</v>
      </c>
      <c r="BC360" s="126" t="s">
        <v>58</v>
      </c>
      <c r="BD360" s="126" t="s">
        <v>58</v>
      </c>
      <c r="BE360" s="127" t="s">
        <v>59</v>
      </c>
      <c r="BF360" s="126" t="s">
        <v>60</v>
      </c>
      <c r="BG360" s="126" t="s">
        <v>61</v>
      </c>
      <c r="BH360" s="126" t="s">
        <v>62</v>
      </c>
      <c r="BI360" s="126"/>
      <c r="BL360" s="126" t="s">
        <v>62</v>
      </c>
      <c r="BM360" s="126"/>
    </row>
    <row r="361" spans="6:65" s="123" customFormat="1" hidden="1">
      <c r="F361" s="126">
        <v>1</v>
      </c>
      <c r="G361" s="137" t="s">
        <v>89</v>
      </c>
      <c r="H361" s="138"/>
      <c r="I361" s="139"/>
      <c r="J361" s="128">
        <v>0.19525000000000001</v>
      </c>
      <c r="K361" s="128" t="str">
        <f>IF((J$11=G361),F361,"")</f>
        <v/>
      </c>
      <c r="L361" s="128" t="str">
        <f>IFERROR(SMALL(K$361:K$363,F361),"")</f>
        <v/>
      </c>
      <c r="M361" s="128">
        <v>495</v>
      </c>
      <c r="N361" s="128" t="b">
        <f>IF(L$361=F361,J$13*(M361*J361))</f>
        <v>0</v>
      </c>
      <c r="O361" s="128" t="b">
        <f>IF(L$361=F361,J$14*(M361*J361))</f>
        <v>0</v>
      </c>
      <c r="P361" s="128">
        <f>N361-O361</f>
        <v>0</v>
      </c>
      <c r="Q361" s="126"/>
      <c r="R361" s="126"/>
      <c r="S361" s="126"/>
      <c r="T361" s="126"/>
      <c r="V361" s="126">
        <v>1</v>
      </c>
      <c r="W361" s="137" t="s">
        <v>89</v>
      </c>
      <c r="X361" s="138"/>
      <c r="Y361" s="139"/>
      <c r="Z361" s="128">
        <v>0.19525000000000001</v>
      </c>
      <c r="AA361" s="128" t="str">
        <f>IF((K$11=W361),V361,"")</f>
        <v/>
      </c>
      <c r="AB361" s="128" t="str">
        <f>IFERROR(SMALL(AA$361:AA$363,V361),"")</f>
        <v/>
      </c>
      <c r="AC361" s="128">
        <v>495</v>
      </c>
      <c r="AD361" s="128" t="b">
        <f>IF(AB$361=V361,K$13*(AC361*Z361))</f>
        <v>0</v>
      </c>
      <c r="AE361" s="128" t="b">
        <f>IF(AB$361=V361,K$14*(AC361*Z361))</f>
        <v>0</v>
      </c>
      <c r="AF361" s="128">
        <f>AD361-AE361</f>
        <v>0</v>
      </c>
      <c r="AG361" s="126"/>
      <c r="AH361" s="126"/>
      <c r="AI361" s="126"/>
      <c r="AJ361" s="126">
        <v>1</v>
      </c>
      <c r="AK361" s="137" t="s">
        <v>89</v>
      </c>
      <c r="AL361" s="138"/>
      <c r="AM361" s="139"/>
      <c r="AN361" s="128">
        <v>0.19525000000000001</v>
      </c>
      <c r="AO361" s="128" t="str">
        <f>IF((L$11=AK361),AJ361,"")</f>
        <v/>
      </c>
      <c r="AP361" s="128" t="str">
        <f>IFERROR(SMALL(AO$361:AO$363,AJ361),"")</f>
        <v/>
      </c>
      <c r="AQ361" s="128">
        <v>495</v>
      </c>
      <c r="AR361" s="128" t="b">
        <f>IF(AP$361=AJ361,L$13*(AQ361*AN361))</f>
        <v>0</v>
      </c>
      <c r="AS361" s="128" t="b">
        <f>IF(AP$361=AJ361,L$14*(AQ361*AN361))</f>
        <v>0</v>
      </c>
      <c r="AT361" s="128">
        <f>AR361-AS361</f>
        <v>0</v>
      </c>
      <c r="AU361" s="126"/>
      <c r="AV361" s="126"/>
      <c r="AX361" s="126">
        <v>1</v>
      </c>
      <c r="AY361" s="137" t="s">
        <v>89</v>
      </c>
      <c r="AZ361" s="138"/>
      <c r="BA361" s="139"/>
      <c r="BB361" s="128">
        <v>0.19525000000000001</v>
      </c>
      <c r="BC361" s="128" t="str">
        <f>IF((AA$11=AY361),AX361,"")</f>
        <v/>
      </c>
      <c r="BD361" s="128" t="str">
        <f>IFERROR(SMALL(BC$361:BC$363,AX361),"")</f>
        <v/>
      </c>
      <c r="BE361" s="128">
        <v>495</v>
      </c>
      <c r="BF361" s="128" t="b">
        <f>IF(BD$361=AX361,M$13*(BE361*BB361))</f>
        <v>0</v>
      </c>
      <c r="BG361" s="128" t="b">
        <f>IF(BD$361=AX361,M$14*(BE361*BB361))</f>
        <v>0</v>
      </c>
      <c r="BH361" s="128">
        <f>BF361-BG361</f>
        <v>0</v>
      </c>
      <c r="BI361" s="126"/>
      <c r="BL361" s="128" t="e">
        <f>#REF!-#REF!</f>
        <v>#REF!</v>
      </c>
      <c r="BM361" s="126"/>
    </row>
    <row r="362" spans="6:65" s="123" customFormat="1" hidden="1">
      <c r="F362" s="126">
        <v>2</v>
      </c>
      <c r="G362" s="137" t="s">
        <v>156</v>
      </c>
      <c r="H362" s="138"/>
      <c r="I362" s="139"/>
      <c r="J362" s="128">
        <f>IF(I344=1,0.29457, IF(I344=2, 0.706, IF(I344=3, 0.463, IF(I344=4, 0.409, IF(I344=5, 0.022, IF(I344=6, 0.022, IF(I344=7, 0.22, IF(I344=8, 0.22,""))))))))</f>
        <v>0.29457</v>
      </c>
      <c r="K362" s="128" t="str">
        <f>IF((J$11=G362),F362,"")</f>
        <v/>
      </c>
      <c r="L362" s="128" t="str">
        <f>IFERROR(SMALL(K$361:K$363,F362),"")</f>
        <v/>
      </c>
      <c r="M362" s="128">
        <v>301</v>
      </c>
      <c r="N362" s="3" t="b">
        <f>IF(L$361=F362,IF(J$8=G$68,J$13*J362*45366, IF(J$8=G$69,J$13*J362*31130)))</f>
        <v>0</v>
      </c>
      <c r="O362" s="7" t="b">
        <f>IF(L$361=F362,J$14*J362*45366)</f>
        <v>0</v>
      </c>
      <c r="P362" s="3">
        <f>(((N362-O362)/1000)*0.000001)*J$7</f>
        <v>0</v>
      </c>
      <c r="Q362" s="126" t="s">
        <v>64</v>
      </c>
      <c r="R362" s="126"/>
      <c r="S362" s="126"/>
      <c r="T362" s="126"/>
      <c r="V362" s="126">
        <v>2</v>
      </c>
      <c r="W362" s="137" t="s">
        <v>156</v>
      </c>
      <c r="X362" s="138"/>
      <c r="Y362" s="139"/>
      <c r="Z362" s="128">
        <f>IF(Y344=1,0.29457, IF(Y344=2, 0.706, IF(Y344=3, 0.463, IF(Y344=4, 0.409, IF(Y344=5, 0.022, IF(Y344=6, 0.022, IF(Y344=7, 0.22, IF(Y344=8, 0.22,""))))))))</f>
        <v>0.29457</v>
      </c>
      <c r="AA362" s="128" t="str">
        <f>IF((K$11=W362),V362,"")</f>
        <v/>
      </c>
      <c r="AB362" s="128" t="str">
        <f>IFERROR(SMALL(AA$361:AA$363,V362),"")</f>
        <v/>
      </c>
      <c r="AC362" s="128">
        <v>301</v>
      </c>
      <c r="AD362" s="3" t="b">
        <f>IF(AB$361=V362,IF(K$8=W$68,K$13*Z362*45366,IF(K$8=W$69,K$13*Z362*31130)))</f>
        <v>0</v>
      </c>
      <c r="AE362" s="7" t="b">
        <f>IF(AB$361=V362,K$14*Z362*45366)</f>
        <v>0</v>
      </c>
      <c r="AF362" s="3">
        <f>(((AD362-AE362)/1000)*0.000001)*K$7</f>
        <v>0</v>
      </c>
      <c r="AG362" s="126" t="s">
        <v>64</v>
      </c>
      <c r="AH362" s="126"/>
      <c r="AI362" s="126"/>
      <c r="AJ362" s="126">
        <v>2</v>
      </c>
      <c r="AK362" s="137" t="s">
        <v>156</v>
      </c>
      <c r="AL362" s="138"/>
      <c r="AM362" s="139"/>
      <c r="AN362" s="128">
        <f>IF(AM344=1,0.29457, IF(AM344=2, 0.706, IF(AM344=3, 0.463, IF(AM344=4, 0.409, IF(AM344=5, 0.022, IF(AM344=6, 0.022, IF(AM344=7, 0.22, IF(AM344=8, 0.22,""))))))))</f>
        <v>0.29457</v>
      </c>
      <c r="AO362" s="128" t="str">
        <f t="shared" ref="AO362:AO363" si="161">IF((L$11=AK362),AJ362,"")</f>
        <v/>
      </c>
      <c r="AP362" s="128" t="str">
        <f>IFERROR(SMALL(AO$361:AO$363,AJ362),"")</f>
        <v/>
      </c>
      <c r="AQ362" s="128">
        <v>301</v>
      </c>
      <c r="AR362" s="3" t="b">
        <f>IF(AP$361=AJ362,IF(L$8=AK$68,L$13*AN362*45366,IF(L$8=AK$69,L$13*AN362*31130)))</f>
        <v>0</v>
      </c>
      <c r="AS362" s="7" t="b">
        <f>IF(AP$361=AJ362,L$14*AN362*45366)</f>
        <v>0</v>
      </c>
      <c r="AT362" s="3">
        <f>(((AR362-AS362)/1000)*0.000001)*L$7</f>
        <v>0</v>
      </c>
      <c r="AU362" s="126" t="s">
        <v>64</v>
      </c>
      <c r="AV362" s="126"/>
      <c r="AX362" s="126">
        <v>2</v>
      </c>
      <c r="AY362" s="137" t="s">
        <v>156</v>
      </c>
      <c r="AZ362" s="138"/>
      <c r="BA362" s="139"/>
      <c r="BB362" s="128">
        <f>IF(BA344=1,0.29457, IF(BA344=2, 0.706, IF(BA344=3, 0.463, IF(BA344=4, 0.409, IF(BA344=5, 0.022, IF(BA344=6, 0.022, IF(BA344=7, 0.22, IF(BA344=8, 0.22,""))))))))</f>
        <v>0.29457</v>
      </c>
      <c r="BC362" s="128" t="str">
        <f>IF((M$11=AY362),AX362,"")</f>
        <v/>
      </c>
      <c r="BD362" s="128" t="str">
        <f>IFERROR(SMALL(BC$361:BC$363,AX362),"")</f>
        <v/>
      </c>
      <c r="BE362" s="128">
        <v>301</v>
      </c>
      <c r="BF362" s="3" t="b">
        <f>IF(BD$361=AX362,IF(M$8=AY$68,M$13*BB362*45366,IF(M$8=AY$69,M$13*BB362*31130)))</f>
        <v>0</v>
      </c>
      <c r="BG362" s="7" t="b">
        <f>IF(BD$361=AX362,M$14*BB362*45366)</f>
        <v>0</v>
      </c>
      <c r="BH362" s="3">
        <f>(((BF362-BG362)/1000)*0.000001)*M$7</f>
        <v>0</v>
      </c>
      <c r="BI362" s="126" t="s">
        <v>64</v>
      </c>
      <c r="BL362" s="128" t="e">
        <f>((((#REF!-#REF!)/1000)*45366)*0.000001)*#REF!</f>
        <v>#REF!</v>
      </c>
      <c r="BM362" s="126" t="s">
        <v>64</v>
      </c>
    </row>
    <row r="363" spans="6:65" s="123" customFormat="1" hidden="1">
      <c r="F363" s="126">
        <v>3</v>
      </c>
      <c r="G363" s="137" t="s">
        <v>157</v>
      </c>
      <c r="H363" s="138"/>
      <c r="I363" s="139"/>
      <c r="J363" s="128">
        <f>IF(I344=1,0.26042, IF(I344=2, 0.624, IF(I344=3, 0.416, IF(I344=4, 0.399, IF(I344=5, 0.029, IF(I344=6, 0.021, IF(I344=7, 0.021, IF(I344=8, 0.021,""))))))))</f>
        <v>0.26041999999999998</v>
      </c>
      <c r="K363" s="128" t="str">
        <f>IF((J$11=G363),F363,"")</f>
        <v/>
      </c>
      <c r="L363" s="128" t="str">
        <f>IFERROR(SMALL(K$361:K$363,F363),"")</f>
        <v/>
      </c>
      <c r="M363" s="128">
        <v>247</v>
      </c>
      <c r="N363" s="3" t="b">
        <f>IF(L$361=F363,IF(J$8=G$68,J$13*J363*45366, IF(J$8=G$69,J$13*J363*31130)))</f>
        <v>0</v>
      </c>
      <c r="O363" s="7" t="b">
        <f>IF(L$361=F363,J$14*J363*45366)</f>
        <v>0</v>
      </c>
      <c r="P363" s="3">
        <f>(((N363-O363)/1000)*0.000001)*J$7</f>
        <v>0</v>
      </c>
      <c r="Q363" s="126" t="s">
        <v>64</v>
      </c>
      <c r="R363" s="126"/>
      <c r="S363" s="126"/>
      <c r="T363" s="126"/>
      <c r="V363" s="126">
        <v>3</v>
      </c>
      <c r="W363" s="137" t="s">
        <v>157</v>
      </c>
      <c r="X363" s="138"/>
      <c r="Y363" s="139"/>
      <c r="Z363" s="128">
        <f>IF(Y344=1,0.26042, IF(Y344=2, 0.624, IF(Y344=3, 0.416, IF(Y344=4, 0.399, IF(Y344=5, 0.029, IF(Y344=6, 0.021, IF(Y344=7, 0.021, IF(Y344=8, 0.021,""))))))))</f>
        <v>0.26041999999999998</v>
      </c>
      <c r="AA363" s="128" t="str">
        <f>IF((K$11=W363),V363,"")</f>
        <v/>
      </c>
      <c r="AB363" s="128" t="str">
        <f>IFERROR(SMALL(AA$361:AA$363,V363),"")</f>
        <v/>
      </c>
      <c r="AC363" s="128">
        <v>247</v>
      </c>
      <c r="AD363" s="3" t="b">
        <f>IF(AB$361=V363,IF(K$8=W$68,K$13*Z363*45366,IF(K$8=W$69,K$13*Z363*31130)))</f>
        <v>0</v>
      </c>
      <c r="AE363" s="7" t="b">
        <f>IF(AB$361=V363,K$14*Z363*45366)</f>
        <v>0</v>
      </c>
      <c r="AF363" s="3">
        <f>(((AD363-AE363)/1000)*0.000001)*K$7</f>
        <v>0</v>
      </c>
      <c r="AG363" s="126" t="s">
        <v>64</v>
      </c>
      <c r="AH363" s="126"/>
      <c r="AI363" s="126"/>
      <c r="AJ363" s="126">
        <v>3</v>
      </c>
      <c r="AK363" s="137" t="s">
        <v>157</v>
      </c>
      <c r="AL363" s="138"/>
      <c r="AM363" s="139"/>
      <c r="AN363" s="128">
        <f>IF(AM344=1,0.26042, IF(AM344=2, 0.624, IF(AM344=3, 0.416, IF(AM344=4, 0.399, IF(AM344=5, 0.029, IF(AM344=6, 0.021, IF(AM344=7, 0.021, IF(AM344=8, 0.021,""))))))))</f>
        <v>0.26041999999999998</v>
      </c>
      <c r="AO363" s="128" t="str">
        <f t="shared" si="161"/>
        <v/>
      </c>
      <c r="AP363" s="128" t="str">
        <f>IFERROR(SMALL(AO$361:AO$363,AJ363),"")</f>
        <v/>
      </c>
      <c r="AQ363" s="128">
        <v>247</v>
      </c>
      <c r="AR363" s="3" t="b">
        <f>IF(AP$361=AJ363,IF(L$8=AK$68,L$13*AN363*45366,IF(L$8=AK$69,L$13*AN363*31130)))</f>
        <v>0</v>
      </c>
      <c r="AS363" s="7" t="b">
        <f>IF(AP$361=AJ363,L$14*AN363*45366)</f>
        <v>0</v>
      </c>
      <c r="AT363" s="3">
        <f>(((AR363-AS363)/1000)*0.000001)*L$7</f>
        <v>0</v>
      </c>
      <c r="AU363" s="126" t="s">
        <v>64</v>
      </c>
      <c r="AV363" s="126"/>
      <c r="AX363" s="126">
        <v>3</v>
      </c>
      <c r="AY363" s="137" t="s">
        <v>157</v>
      </c>
      <c r="AZ363" s="138"/>
      <c r="BA363" s="139"/>
      <c r="BB363" s="128">
        <f>IF(BA344=1,0.26042, IF(BA344=2, 0.624, IF(BA344=3, 0.416, IF(BA344=4, 0.399, IF(BA344=5, 0.029, IF(BA344=6, 0.021, IF(BA344=7, 0.021, IF(BA344=8, 0.021,""))))))))</f>
        <v>0.26041999999999998</v>
      </c>
      <c r="BC363" s="128" t="str">
        <f>IF((M$11=AY363),AX363,"")</f>
        <v/>
      </c>
      <c r="BD363" s="128" t="str">
        <f>IFERROR(SMALL(BC$361:BC$363,AX363),"")</f>
        <v/>
      </c>
      <c r="BE363" s="128">
        <v>247</v>
      </c>
      <c r="BF363" s="3" t="b">
        <f>IF(BD$361=AX363,IF(M$8=AY$68,M$13*BB363*45366,IF(M$8=AY$69,M$13*BB363*31130)))</f>
        <v>0</v>
      </c>
      <c r="BG363" s="7" t="b">
        <f>IF(BD$361=AX363,M$14*BB363*45366)</f>
        <v>0</v>
      </c>
      <c r="BH363" s="3">
        <f>(((BF363-BG363)/1000)*0.000001)*M$7</f>
        <v>0</v>
      </c>
      <c r="BI363" s="126" t="s">
        <v>64</v>
      </c>
      <c r="BL363" s="128" t="e">
        <f>((((#REF!-#REF!)/1000)*45366)*0.000001)*#REF!</f>
        <v>#REF!</v>
      </c>
      <c r="BM363" s="126" t="s">
        <v>64</v>
      </c>
    </row>
    <row r="364" spans="6:65" s="123" customFormat="1" hidden="1">
      <c r="F364" s="126">
        <v>4</v>
      </c>
      <c r="G364" s="133" t="s">
        <v>13</v>
      </c>
      <c r="H364" s="126"/>
      <c r="I364" s="126"/>
      <c r="J364" s="126"/>
      <c r="K364" s="128"/>
      <c r="L364" s="126"/>
      <c r="M364" s="126"/>
      <c r="N364" s="126"/>
      <c r="O364" s="126"/>
      <c r="P364" s="126"/>
      <c r="Q364" s="126"/>
      <c r="R364" s="126"/>
      <c r="S364" s="126"/>
      <c r="T364" s="126"/>
      <c r="V364" s="126"/>
      <c r="W364" s="126"/>
      <c r="X364" s="126"/>
      <c r="Y364" s="126"/>
      <c r="Z364" s="126"/>
      <c r="AA364" s="126"/>
      <c r="AB364" s="126"/>
      <c r="AC364" s="126"/>
      <c r="AD364" s="126"/>
      <c r="AE364" s="126"/>
      <c r="AF364" s="126"/>
      <c r="AG364" s="126"/>
      <c r="AH364" s="126"/>
      <c r="AI364" s="126"/>
      <c r="AJ364" s="126"/>
      <c r="AK364" s="126"/>
      <c r="AL364" s="126"/>
      <c r="AM364" s="126"/>
      <c r="AN364" s="126"/>
      <c r="AO364" s="126"/>
      <c r="AP364" s="126"/>
      <c r="AQ364" s="126"/>
      <c r="AR364" s="126"/>
      <c r="AS364" s="126"/>
      <c r="AT364" s="126"/>
      <c r="AU364" s="126"/>
      <c r="AV364" s="126"/>
      <c r="AX364" s="126"/>
      <c r="AY364" s="126"/>
      <c r="AZ364" s="126"/>
      <c r="BA364" s="126"/>
      <c r="BB364" s="126"/>
      <c r="BC364" s="126"/>
      <c r="BD364" s="126"/>
      <c r="BE364" s="126"/>
      <c r="BF364" s="126"/>
      <c r="BG364" s="126"/>
      <c r="BH364" s="126"/>
      <c r="BI364" s="126"/>
      <c r="BL364" s="126"/>
      <c r="BM364" s="126"/>
    </row>
    <row r="365" spans="6:65" hidden="1">
      <c r="F365" s="2"/>
      <c r="G365" s="17"/>
      <c r="H365" s="2"/>
      <c r="I365" s="2"/>
      <c r="J365" s="2"/>
      <c r="K365" s="2"/>
      <c r="L365" s="2"/>
      <c r="M365" s="2"/>
      <c r="N365" s="2"/>
      <c r="O365" s="2"/>
      <c r="P365" s="2"/>
      <c r="Q365" s="2"/>
      <c r="R365" s="2"/>
      <c r="S365" s="2"/>
      <c r="T365" s="2"/>
      <c r="V365" s="2"/>
      <c r="W365" s="2"/>
      <c r="X365" s="2"/>
      <c r="Y365" s="2"/>
      <c r="Z365" s="2"/>
      <c r="AA365" s="2"/>
      <c r="AB365" s="2"/>
      <c r="AC365" s="2"/>
      <c r="AD365" s="2"/>
      <c r="AE365" s="2"/>
      <c r="AF365" s="2"/>
      <c r="AG365" s="2"/>
      <c r="AH365" s="2"/>
      <c r="AI365" s="2"/>
      <c r="AJ365" s="2"/>
      <c r="AK365" s="2"/>
      <c r="AL365" s="2"/>
      <c r="AM365" s="2"/>
      <c r="AN365" s="2"/>
      <c r="AO365" s="2"/>
      <c r="AP365" s="2"/>
      <c r="AQ365" s="2"/>
      <c r="AR365" s="2"/>
      <c r="AS365" s="2"/>
      <c r="AT365" s="2"/>
      <c r="AU365" s="2"/>
      <c r="AV365" s="2"/>
      <c r="AX365" s="2"/>
      <c r="AY365" s="2"/>
      <c r="AZ365" s="2"/>
      <c r="BA365" s="2"/>
      <c r="BB365" s="2"/>
      <c r="BC365" s="2"/>
      <c r="BD365" s="2"/>
      <c r="BE365" s="2"/>
      <c r="BF365" s="2"/>
      <c r="BG365" s="2"/>
      <c r="BH365" s="2"/>
      <c r="BI365" s="2"/>
      <c r="BL365" s="2"/>
      <c r="BM365" s="2"/>
    </row>
    <row r="366" spans="6:65" hidden="1">
      <c r="F366" s="2"/>
      <c r="G366" s="17"/>
      <c r="H366" s="2"/>
      <c r="I366" s="2"/>
      <c r="J366" s="2"/>
      <c r="K366" s="2"/>
      <c r="L366" s="2"/>
      <c r="M366" s="2"/>
      <c r="N366" s="2"/>
      <c r="O366" s="2"/>
      <c r="P366" s="2"/>
      <c r="Q366" s="2"/>
      <c r="R366" s="2"/>
      <c r="S366" s="2"/>
      <c r="T366" s="2"/>
      <c r="V366" s="2"/>
      <c r="W366" s="2"/>
      <c r="X366" s="2"/>
      <c r="Y366" s="2"/>
      <c r="Z366" s="2"/>
      <c r="AA366" s="2"/>
      <c r="AB366" s="2"/>
      <c r="AC366" s="2"/>
      <c r="AD366" s="2"/>
      <c r="AE366" s="2"/>
      <c r="AF366" s="2"/>
      <c r="AG366" s="2"/>
      <c r="AH366" s="2"/>
      <c r="AI366" s="2"/>
      <c r="AJ366" s="2"/>
      <c r="AK366" s="2"/>
      <c r="AL366" s="2"/>
      <c r="AM366" s="2"/>
      <c r="AN366" s="2"/>
      <c r="AO366" s="2"/>
      <c r="AP366" s="2"/>
      <c r="AQ366" s="2"/>
      <c r="AR366" s="2"/>
      <c r="AS366" s="2"/>
      <c r="AT366" s="2"/>
      <c r="AU366" s="2"/>
      <c r="AV366" s="2"/>
      <c r="AX366" s="2"/>
      <c r="AY366" s="2"/>
      <c r="AZ366" s="2"/>
      <c r="BA366" s="2"/>
      <c r="BB366" s="2"/>
      <c r="BC366" s="2"/>
      <c r="BD366" s="2"/>
      <c r="BE366" s="2"/>
      <c r="BF366" s="2"/>
      <c r="BG366" s="2"/>
      <c r="BH366" s="2"/>
      <c r="BI366" s="2"/>
      <c r="BL366" s="2"/>
      <c r="BM366" s="2"/>
    </row>
    <row r="367" spans="6:65" ht="14.1" hidden="1" customHeight="1">
      <c r="F367" s="2"/>
      <c r="G367" s="2"/>
      <c r="H367" s="2"/>
      <c r="I367" s="2"/>
      <c r="J367" s="12" t="s">
        <v>70</v>
      </c>
      <c r="K367" s="2" t="s">
        <v>58</v>
      </c>
      <c r="L367" s="2" t="s">
        <v>58</v>
      </c>
      <c r="M367" s="12" t="s">
        <v>59</v>
      </c>
      <c r="N367" s="2" t="s">
        <v>60</v>
      </c>
      <c r="O367" s="2" t="s">
        <v>61</v>
      </c>
      <c r="P367" s="2" t="s">
        <v>62</v>
      </c>
      <c r="Q367" s="2"/>
      <c r="R367" s="2"/>
      <c r="S367" s="2"/>
      <c r="T367" s="2"/>
      <c r="V367" s="2"/>
      <c r="W367" s="2"/>
      <c r="X367" s="2"/>
      <c r="Y367" s="2"/>
      <c r="Z367" s="12" t="s">
        <v>70</v>
      </c>
      <c r="AA367" s="2" t="s">
        <v>58</v>
      </c>
      <c r="AB367" s="2" t="s">
        <v>58</v>
      </c>
      <c r="AC367" s="12" t="s">
        <v>59</v>
      </c>
      <c r="AD367" s="2" t="s">
        <v>60</v>
      </c>
      <c r="AE367" s="2" t="s">
        <v>61</v>
      </c>
      <c r="AF367" s="2" t="s">
        <v>62</v>
      </c>
      <c r="AG367" s="2"/>
      <c r="AH367" s="2"/>
      <c r="AI367" s="2"/>
      <c r="AJ367" s="2"/>
      <c r="AK367" s="2"/>
      <c r="AL367" s="2"/>
      <c r="AM367" s="2"/>
      <c r="AN367" s="12" t="s">
        <v>70</v>
      </c>
      <c r="AO367" s="2" t="s">
        <v>58</v>
      </c>
      <c r="AP367" s="2" t="s">
        <v>58</v>
      </c>
      <c r="AQ367" s="12" t="s">
        <v>59</v>
      </c>
      <c r="AR367" s="2" t="s">
        <v>60</v>
      </c>
      <c r="AS367" s="2" t="s">
        <v>61</v>
      </c>
      <c r="AT367" s="2" t="s">
        <v>62</v>
      </c>
      <c r="AU367" s="2"/>
      <c r="AV367" s="2"/>
      <c r="AX367" s="2"/>
      <c r="AY367" s="2"/>
      <c r="AZ367" s="2"/>
      <c r="BA367" s="2"/>
      <c r="BB367" s="12" t="s">
        <v>70</v>
      </c>
      <c r="BC367" s="2" t="s">
        <v>58</v>
      </c>
      <c r="BD367" s="2" t="s">
        <v>58</v>
      </c>
      <c r="BE367" s="12" t="s">
        <v>59</v>
      </c>
      <c r="BF367" s="2" t="s">
        <v>60</v>
      </c>
      <c r="BG367" s="2" t="s">
        <v>61</v>
      </c>
      <c r="BH367" s="2" t="s">
        <v>62</v>
      </c>
      <c r="BI367" s="2"/>
      <c r="BL367" s="2" t="s">
        <v>62</v>
      </c>
      <c r="BM367" s="2"/>
    </row>
    <row r="368" spans="6:65" hidden="1">
      <c r="F368" s="11">
        <v>1</v>
      </c>
      <c r="G368" s="10" t="s">
        <v>89</v>
      </c>
      <c r="H368" s="9"/>
      <c r="I368" s="8"/>
      <c r="J368" s="7">
        <v>11</v>
      </c>
      <c r="K368" s="7" t="str">
        <f>IF((J$9=G368),F368,"")</f>
        <v/>
      </c>
      <c r="L368" s="7" t="str">
        <f>IFERROR(SMALL(K$368:K$370,F368),"")</f>
        <v/>
      </c>
      <c r="M368" s="7">
        <v>495</v>
      </c>
      <c r="N368" s="7" t="b">
        <f>IF(L$368=F368,J$13*(M368*J368))</f>
        <v>0</v>
      </c>
      <c r="O368" s="7" t="b">
        <f>IF(L$368=F368,J$14*(M368*J368))</f>
        <v>0</v>
      </c>
      <c r="P368" s="7">
        <f>N368-O368</f>
        <v>0</v>
      </c>
      <c r="Q368" s="2"/>
      <c r="R368" s="2"/>
      <c r="S368" s="2"/>
      <c r="T368" s="2"/>
      <c r="V368" s="11">
        <v>1</v>
      </c>
      <c r="W368" s="10" t="s">
        <v>89</v>
      </c>
      <c r="X368" s="9"/>
      <c r="Y368" s="8"/>
      <c r="Z368" s="7">
        <v>11</v>
      </c>
      <c r="AA368" s="7" t="str">
        <f>IF((K$9=W368),V368,"")</f>
        <v/>
      </c>
      <c r="AB368" s="7" t="str">
        <f>IFERROR(SMALL(AA$368:AA$370,V368),"")</f>
        <v/>
      </c>
      <c r="AC368" s="7">
        <v>495</v>
      </c>
      <c r="AD368" s="7" t="b">
        <f>IF(AB$368=V368,K$13*(AC368*Z368))</f>
        <v>0</v>
      </c>
      <c r="AE368" s="7" t="b">
        <f>IF(AB$368=V368,K$14*(AC368*Z368))</f>
        <v>0</v>
      </c>
      <c r="AF368" s="7">
        <f>AD368-AE368</f>
        <v>0</v>
      </c>
      <c r="AG368" s="2"/>
      <c r="AH368" s="2"/>
      <c r="AI368" s="2"/>
      <c r="AJ368" s="11">
        <v>1</v>
      </c>
      <c r="AK368" s="10" t="s">
        <v>89</v>
      </c>
      <c r="AL368" s="9"/>
      <c r="AM368" s="8"/>
      <c r="AN368" s="7">
        <v>11</v>
      </c>
      <c r="AO368" s="7" t="str">
        <f>IF((L$9=AK368),AJ368,"")</f>
        <v/>
      </c>
      <c r="AP368" s="7" t="str">
        <f>IFERROR(SMALL(AO$368:AO$370,AJ368),"")</f>
        <v/>
      </c>
      <c r="AQ368" s="7">
        <v>495</v>
      </c>
      <c r="AR368" s="7" t="b">
        <f>IF(AP$368=AJ368,L$13*(AQ368*AN368))</f>
        <v>0</v>
      </c>
      <c r="AS368" s="7" t="b">
        <f>IF(AP$368=AJ368,L$14*(AQ368*AN368))</f>
        <v>0</v>
      </c>
      <c r="AT368" s="7">
        <f>AR368-AS368</f>
        <v>0</v>
      </c>
      <c r="AU368" s="2"/>
      <c r="AV368" s="2"/>
      <c r="AX368" s="11">
        <v>1</v>
      </c>
      <c r="AY368" s="10" t="s">
        <v>89</v>
      </c>
      <c r="AZ368" s="9"/>
      <c r="BA368" s="8"/>
      <c r="BB368" s="7">
        <v>11</v>
      </c>
      <c r="BC368" s="7" t="str">
        <f>IF((AN$9=AY368),AX368,"")</f>
        <v/>
      </c>
      <c r="BD368" s="7" t="str">
        <f>IFERROR(SMALL(BC$368:BC$370,AX368),"")</f>
        <v/>
      </c>
      <c r="BE368" s="7">
        <v>495</v>
      </c>
      <c r="BF368" s="7" t="b">
        <f>IF(BD$368=AX368,M$13*(BE368*BB368))</f>
        <v>0</v>
      </c>
      <c r="BG368" s="7" t="b">
        <f>IF(BD$368=AX368,M$14*(BE368*BB368))</f>
        <v>0</v>
      </c>
      <c r="BH368" s="7">
        <f>BF368-BG368</f>
        <v>0</v>
      </c>
      <c r="BI368" s="2"/>
      <c r="BL368" s="7" t="e">
        <f>#REF!-#REF!</f>
        <v>#REF!</v>
      </c>
      <c r="BM368" s="2"/>
    </row>
    <row r="369" spans="6:65" hidden="1">
      <c r="F369" s="2">
        <v>2</v>
      </c>
      <c r="G369" s="6" t="s">
        <v>156</v>
      </c>
      <c r="H369" s="5"/>
      <c r="I369" s="4"/>
      <c r="J369" s="3" t="str">
        <f>IF(I334=1,5.9557, IF(I334=2,10.1, IF(I334=3, 10.7, IF(I334=4, 9.38, IF(I334=5, 5.42, IF(I334=6, 3.09, IF(I334=7, 1.5, IF(I334=8, 1.5,""))))))))</f>
        <v/>
      </c>
      <c r="K369" s="3" t="str">
        <f>IF((J$9=G369),F369,"")</f>
        <v/>
      </c>
      <c r="L369" s="3" t="str">
        <f>IFERROR(SMALL(K$368:K$370,F369),"")</f>
        <v/>
      </c>
      <c r="M369" s="3">
        <v>301</v>
      </c>
      <c r="N369" s="3" t="b">
        <f>IF(L$368=F369,IF(J$8=G$68,J$13*J369*45366,IF(J$8=G$69,J$13*J369*31130)))</f>
        <v>0</v>
      </c>
      <c r="O369" s="7" t="b">
        <f>IF(L$368=F369,J$14*J369*45366)</f>
        <v>0</v>
      </c>
      <c r="P369" s="3">
        <f>(((N369-O369)/1000)*0.000001)*J$7</f>
        <v>0</v>
      </c>
      <c r="Q369" s="2" t="s">
        <v>64</v>
      </c>
      <c r="R369" s="2"/>
      <c r="S369" s="2"/>
      <c r="T369" s="2"/>
      <c r="V369" s="2">
        <v>2</v>
      </c>
      <c r="W369" s="6" t="s">
        <v>156</v>
      </c>
      <c r="X369" s="5"/>
      <c r="Y369" s="4"/>
      <c r="Z369" s="3" t="str">
        <f>IF(Y334=1,5.9557, IF(Y334=2,10.1, IF(Y334=3, 10.7, IF(Y334=4, 9.38, IF(Y334=5, 5.42, IF(Y334=6, 3.09, IF(Y334=7, 1.5, IF(Y334=8, 1.5,""))))))))</f>
        <v/>
      </c>
      <c r="AA369" s="3" t="str">
        <f>IF((K$9=W369),V369,"")</f>
        <v/>
      </c>
      <c r="AB369" s="3" t="str">
        <f>IFERROR(SMALL(AA$368:AA$370,V369),"")</f>
        <v/>
      </c>
      <c r="AC369" s="3">
        <v>301</v>
      </c>
      <c r="AD369" s="3" t="b">
        <f>IF(AB$368=V369,IF(K$8=W$68,K$13*Z369*45366,IF(K$8=W$69,K$13*Z369*31130)))</f>
        <v>0</v>
      </c>
      <c r="AE369" s="7" t="b">
        <f>IF(AB$368=V369,K$14*Z369*45366)</f>
        <v>0</v>
      </c>
      <c r="AF369" s="3">
        <f>(((AD369-AE369)/1000)*0.000001)*K$7</f>
        <v>0</v>
      </c>
      <c r="AG369" s="2" t="s">
        <v>64</v>
      </c>
      <c r="AH369" s="2"/>
      <c r="AI369" s="2"/>
      <c r="AJ369" s="2">
        <v>2</v>
      </c>
      <c r="AK369" s="6" t="s">
        <v>156</v>
      </c>
      <c r="AL369" s="5"/>
      <c r="AM369" s="4"/>
      <c r="AN369" s="3" t="str">
        <f>IF(AM334=1,5.9557, IF(AM334=2,10.1, IF(AM334=3, 10.7, IF(AM334=4, 9.38, IF(AM334=5, 5.42, IF(AM334=6, 3.09, IF(AM334=7, 1.5, IF(AM334=8, 1.5,""))))))))</f>
        <v/>
      </c>
      <c r="AO369" s="3" t="str">
        <f>IF((L$9=AK369),AJ369,"")</f>
        <v/>
      </c>
      <c r="AP369" s="3" t="str">
        <f>IFERROR(SMALL(AO$368:AO$370,AJ369),"")</f>
        <v/>
      </c>
      <c r="AQ369" s="3">
        <v>301</v>
      </c>
      <c r="AR369" s="3" t="b">
        <f>IF(AP$368=AJ369,IF(L$8=AK$68,L$13*AN369*45366,IF(L$8=AK$69,L$13*AN369*31130)))</f>
        <v>0</v>
      </c>
      <c r="AS369" s="7" t="b">
        <f>IF(AP$368=AJ369,L$14*AN369*45366)</f>
        <v>0</v>
      </c>
      <c r="AT369" s="3">
        <f>(((AR369-AS369)/1000)*0.000001)*L$7</f>
        <v>0</v>
      </c>
      <c r="AU369" s="2" t="s">
        <v>64</v>
      </c>
      <c r="AV369" s="2"/>
      <c r="AX369" s="2">
        <v>2</v>
      </c>
      <c r="AY369" s="6" t="s">
        <v>156</v>
      </c>
      <c r="AZ369" s="5"/>
      <c r="BA369" s="4"/>
      <c r="BB369" s="3" t="str">
        <f>IF(BA334=1,5.9557, IF(BA334=2,10.1, IF(BA334=3, 10.7, IF(BA334=4, 9.38, IF(BA334=5, 5.42, IF(BA334=6, 3.09, IF(BA334=7, 1.5, IF(BA334=8, 1.5,""))))))))</f>
        <v/>
      </c>
      <c r="BC369" s="3" t="str">
        <f>IF((M$9=AY369),AX369,"")</f>
        <v/>
      </c>
      <c r="BD369" s="3" t="str">
        <f>IFERROR(SMALL(BC$368:BC$370,AX369),"")</f>
        <v/>
      </c>
      <c r="BE369" s="3">
        <v>301</v>
      </c>
      <c r="BF369" s="3" t="b">
        <f>IF(BD$368=AX369,IF(M$8=AY$68,M$13*BB369*45366,IF(M$8=AY$69,M$13*BB369*31130)))</f>
        <v>0</v>
      </c>
      <c r="BG369" s="7" t="b">
        <f>IF(BD$368=AX369,M$14*BB369*45366)</f>
        <v>0</v>
      </c>
      <c r="BH369" s="3">
        <f>(((BF369-BG369)/1000)*0.000001)*M$7</f>
        <v>0</v>
      </c>
      <c r="BI369" s="2" t="s">
        <v>64</v>
      </c>
      <c r="BL369" s="3" t="e">
        <f>((((#REF!-#REF!)/1000)*45366)*0.000001)*O7</f>
        <v>#REF!</v>
      </c>
      <c r="BM369" s="2" t="s">
        <v>64</v>
      </c>
    </row>
    <row r="370" spans="6:65" hidden="1">
      <c r="F370" s="2">
        <v>3</v>
      </c>
      <c r="G370" s="6" t="s">
        <v>157</v>
      </c>
      <c r="H370" s="5"/>
      <c r="I370" s="4"/>
      <c r="J370" s="3" t="str">
        <f>IF(I334=1,4.66171, IF(I334=2, 8.1, IF(I334=3, 8.95, IF(I334=4, 7.51, IF(I334=5, 4.51, IF(I334=6, 2.57, IF(I334=7, 0.496, IF(I334=8, 0.496,""))))))))</f>
        <v/>
      </c>
      <c r="K370" s="3" t="str">
        <f>IF((J$9=G370),F370,"")</f>
        <v/>
      </c>
      <c r="L370" s="3" t="str">
        <f>IFERROR(SMALL(K$368:K$370,F370),"")</f>
        <v/>
      </c>
      <c r="M370" s="3">
        <v>247</v>
      </c>
      <c r="N370" s="3" t="b">
        <f>IF(L$368=F370,IF(J$8=G$68,J$13*J370*45366,IF(J$8=G$69,J$13*J370*31130)))</f>
        <v>0</v>
      </c>
      <c r="O370" s="7" t="b">
        <f>IF(L$368=F370,J$14*J370*45366)</f>
        <v>0</v>
      </c>
      <c r="P370" s="3">
        <f>(((N370-O370)/1000)*0.000001)*J$7</f>
        <v>0</v>
      </c>
      <c r="Q370" s="2" t="s">
        <v>64</v>
      </c>
      <c r="R370" s="2"/>
      <c r="S370" s="2"/>
      <c r="T370" s="2"/>
      <c r="V370" s="2">
        <v>3</v>
      </c>
      <c r="W370" s="6" t="s">
        <v>157</v>
      </c>
      <c r="X370" s="5"/>
      <c r="Y370" s="4"/>
      <c r="Z370" s="3" t="str">
        <f>IF(Y334=1,4.66171, IF(Y334=2, 8.1, IF(Y334=3, 8.95, IF(Y334=4, 7.51, IF(Y334=5, 4.51, IF(Y334=6, 2.57, IF(Y334=7, 0.496, IF(Y334=8, 0.496,""))))))))</f>
        <v/>
      </c>
      <c r="AA370" s="3" t="str">
        <f>IF((K$9=W370),V370,"")</f>
        <v/>
      </c>
      <c r="AB370" s="3" t="str">
        <f>IFERROR(SMALL(AA$368:AA$370,V370),"")</f>
        <v/>
      </c>
      <c r="AC370" s="3">
        <v>247</v>
      </c>
      <c r="AD370" s="3" t="b">
        <f>IF(AB$368=V370,IF(K$8=W$68,K$13*Z370*45366,IF(K$8=W$69,K$13*Z370*31130)))</f>
        <v>0</v>
      </c>
      <c r="AE370" s="7" t="b">
        <f>IF(AB$368=V370,K$14*Z370*45366)</f>
        <v>0</v>
      </c>
      <c r="AF370" s="3">
        <f>(((AD370-AE370)/1000)*0.000001)*K$7</f>
        <v>0</v>
      </c>
      <c r="AG370" s="2" t="s">
        <v>64</v>
      </c>
      <c r="AH370" s="2"/>
      <c r="AI370" s="2"/>
      <c r="AJ370" s="2">
        <v>3</v>
      </c>
      <c r="AK370" s="6" t="s">
        <v>157</v>
      </c>
      <c r="AL370" s="5"/>
      <c r="AM370" s="4"/>
      <c r="AN370" s="3" t="str">
        <f>IF(AM334=1,4.66171, IF(AM334=2, 8.1, IF(AM334=3, 8.95, IF(AM334=4, 7.51, IF(AM334=5, 4.51, IF(AM334=6, 2.57, IF(AM334=7, 0.496, IF(AM334=8, 0.496,""))))))))</f>
        <v/>
      </c>
      <c r="AO370" s="3" t="str">
        <f>IF((L$9=AK370),AJ370,"")</f>
        <v/>
      </c>
      <c r="AP370" s="3" t="str">
        <f>IFERROR(SMALL(AO$368:AO$370,AJ370),"")</f>
        <v/>
      </c>
      <c r="AQ370" s="3">
        <v>247</v>
      </c>
      <c r="AR370" s="3" t="b">
        <f>IF(AP$368=AJ370,IF(L$8=AK$68,L$13*AN370*45366,IF(L$8=AK$69,L$13*AN370*31130)))</f>
        <v>0</v>
      </c>
      <c r="AS370" s="7" t="b">
        <f>IF(AP$368=AJ370,L$14*AN370*45366)</f>
        <v>0</v>
      </c>
      <c r="AT370" s="3">
        <f>(((AR370-AS370)/1000)*0.000001)*L$7</f>
        <v>0</v>
      </c>
      <c r="AU370" s="2" t="s">
        <v>64</v>
      </c>
      <c r="AV370" s="2"/>
      <c r="AX370" s="2">
        <v>3</v>
      </c>
      <c r="AY370" s="6" t="s">
        <v>157</v>
      </c>
      <c r="AZ370" s="5"/>
      <c r="BA370" s="4"/>
      <c r="BB370" s="3" t="str">
        <f>IF(BA334=1,4.66171, IF(BA334=2, 8.1, IF(BA334=3, 8.95, IF(BA334=4, 7.51, IF(BA334=5, 4.51, IF(BA334=6, 2.57, IF(BA334=7, 0.496, IF(BA334=8, 0.496,""))))))))</f>
        <v/>
      </c>
      <c r="BC370" s="3" t="str">
        <f>IF((M$9=AY370),AX370,"")</f>
        <v/>
      </c>
      <c r="BD370" s="3" t="str">
        <f>IFERROR(SMALL(BC$368:BC$370,AX370),"")</f>
        <v/>
      </c>
      <c r="BE370" s="3">
        <v>247</v>
      </c>
      <c r="BF370" s="3" t="b">
        <f>IF(BD$368=AX370,IF(M$8=AY$68,M$13*BB370*45366,IF(M$8=AY$69,M$13*BB370*31130)))</f>
        <v>0</v>
      </c>
      <c r="BG370" s="7" t="b">
        <f>IF(BD$368=AX370,M$14*BB370*45366)</f>
        <v>0</v>
      </c>
      <c r="BH370" s="3">
        <f>(((BF370-BG370)/1000)*0.000001)*M$7</f>
        <v>0</v>
      </c>
      <c r="BI370" s="2" t="s">
        <v>64</v>
      </c>
      <c r="BL370" s="3" t="e">
        <f>((((#REF!-#REF!)/1000)*45366)*0.000001)*O7</f>
        <v>#REF!</v>
      </c>
      <c r="BM370" s="2" t="s">
        <v>64</v>
      </c>
    </row>
    <row r="371" spans="6:65" hidden="1">
      <c r="F371" s="2"/>
      <c r="G371" s="2"/>
      <c r="H371" s="2"/>
      <c r="I371" s="2"/>
      <c r="J371" s="2"/>
      <c r="K371" s="2"/>
      <c r="L371" s="2"/>
      <c r="M371" s="2"/>
      <c r="N371" s="2"/>
      <c r="O371" s="2"/>
      <c r="P371" s="2"/>
      <c r="Q371" s="2"/>
      <c r="R371" s="2"/>
      <c r="S371" s="2"/>
      <c r="T371" s="2"/>
      <c r="V371" s="2"/>
      <c r="W371" s="2"/>
      <c r="X371" s="2"/>
      <c r="Y371" s="2"/>
      <c r="Z371" s="2"/>
      <c r="AA371" s="2"/>
      <c r="AB371" s="2"/>
      <c r="AC371" s="2"/>
      <c r="AD371" s="2"/>
      <c r="AE371" s="2"/>
      <c r="AF371" s="2"/>
      <c r="AG371" s="2"/>
      <c r="AH371" s="2"/>
      <c r="AI371" s="2"/>
      <c r="AJ371" s="2"/>
      <c r="AK371" s="2"/>
      <c r="AL371" s="2"/>
      <c r="AM371" s="2"/>
      <c r="AN371" s="2"/>
      <c r="AO371" s="2"/>
      <c r="AP371" s="2"/>
      <c r="AQ371" s="2"/>
      <c r="AR371" s="2"/>
      <c r="AS371" s="2"/>
      <c r="AT371" s="2"/>
      <c r="AU371" s="2"/>
      <c r="AV371" s="2"/>
      <c r="AX371" s="2"/>
      <c r="AY371" s="2"/>
      <c r="AZ371" s="2"/>
      <c r="BA371" s="2"/>
      <c r="BB371" s="2"/>
      <c r="BC371" s="2"/>
      <c r="BD371" s="2"/>
      <c r="BE371" s="2"/>
      <c r="BF371" s="2"/>
      <c r="BG371" s="2"/>
      <c r="BH371" s="2"/>
      <c r="BI371" s="2"/>
      <c r="BL371" s="2"/>
      <c r="BM371" s="2"/>
    </row>
    <row r="372" spans="6:65" s="123" customFormat="1" ht="14.1" hidden="1" customHeight="1">
      <c r="F372" s="126"/>
      <c r="G372" s="126"/>
      <c r="H372" s="126"/>
      <c r="I372" s="126"/>
      <c r="J372" s="127" t="s">
        <v>70</v>
      </c>
      <c r="K372" s="126" t="s">
        <v>58</v>
      </c>
      <c r="L372" s="126" t="s">
        <v>58</v>
      </c>
      <c r="M372" s="127" t="s">
        <v>59</v>
      </c>
      <c r="N372" s="126" t="s">
        <v>60</v>
      </c>
      <c r="O372" s="126" t="s">
        <v>61</v>
      </c>
      <c r="P372" s="126" t="s">
        <v>62</v>
      </c>
      <c r="Q372" s="126"/>
      <c r="R372" s="126"/>
      <c r="S372" s="126"/>
      <c r="T372" s="126"/>
      <c r="V372" s="126"/>
      <c r="W372" s="126"/>
      <c r="X372" s="126"/>
      <c r="Y372" s="126"/>
      <c r="Z372" s="127" t="s">
        <v>70</v>
      </c>
      <c r="AA372" s="126" t="s">
        <v>58</v>
      </c>
      <c r="AB372" s="126" t="s">
        <v>58</v>
      </c>
      <c r="AC372" s="127" t="s">
        <v>59</v>
      </c>
      <c r="AD372" s="126" t="s">
        <v>60</v>
      </c>
      <c r="AE372" s="126" t="s">
        <v>61</v>
      </c>
      <c r="AF372" s="126" t="s">
        <v>62</v>
      </c>
      <c r="AG372" s="126"/>
      <c r="AH372" s="126"/>
      <c r="AI372" s="126"/>
      <c r="AJ372" s="126"/>
      <c r="AK372" s="126"/>
      <c r="AL372" s="126"/>
      <c r="AM372" s="126"/>
      <c r="AN372" s="127" t="s">
        <v>70</v>
      </c>
      <c r="AO372" s="126" t="s">
        <v>58</v>
      </c>
      <c r="AP372" s="126" t="s">
        <v>58</v>
      </c>
      <c r="AQ372" s="127" t="s">
        <v>59</v>
      </c>
      <c r="AR372" s="126" t="s">
        <v>60</v>
      </c>
      <c r="AS372" s="126" t="s">
        <v>61</v>
      </c>
      <c r="AT372" s="126" t="s">
        <v>62</v>
      </c>
      <c r="AU372" s="126"/>
      <c r="AV372" s="126"/>
      <c r="AX372" s="126"/>
      <c r="AY372" s="126"/>
      <c r="AZ372" s="126"/>
      <c r="BA372" s="126"/>
      <c r="BB372" s="127" t="s">
        <v>70</v>
      </c>
      <c r="BC372" s="126" t="s">
        <v>58</v>
      </c>
      <c r="BD372" s="126" t="s">
        <v>58</v>
      </c>
      <c r="BE372" s="127" t="s">
        <v>59</v>
      </c>
      <c r="BF372" s="126" t="s">
        <v>60</v>
      </c>
      <c r="BG372" s="126" t="s">
        <v>61</v>
      </c>
      <c r="BH372" s="126" t="s">
        <v>62</v>
      </c>
      <c r="BI372" s="126"/>
      <c r="BL372" s="126" t="s">
        <v>62</v>
      </c>
      <c r="BM372" s="126"/>
    </row>
    <row r="373" spans="6:65" s="123" customFormat="1" hidden="1">
      <c r="F373" s="126">
        <v>1</v>
      </c>
      <c r="G373" s="137" t="s">
        <v>89</v>
      </c>
      <c r="H373" s="138"/>
      <c r="I373" s="139"/>
      <c r="J373" s="128">
        <v>11</v>
      </c>
      <c r="K373" s="128" t="str">
        <f>IF((J$11=G373),F373,"")</f>
        <v/>
      </c>
      <c r="L373" s="128" t="str">
        <f>IFERROR(SMALL(K$373:K$375,F373),"")</f>
        <v/>
      </c>
      <c r="M373" s="128">
        <v>495</v>
      </c>
      <c r="N373" s="7" t="b">
        <f>IF(L$373=F373,J$13*(M373*J373))</f>
        <v>0</v>
      </c>
      <c r="O373" s="7" t="b">
        <f>IF(L$373=F373,J$14*(M373*J373))</f>
        <v>0</v>
      </c>
      <c r="P373" s="7">
        <f>N373-O373</f>
        <v>0</v>
      </c>
      <c r="Q373" s="126"/>
      <c r="R373" s="126"/>
      <c r="S373" s="126"/>
      <c r="T373" s="126"/>
      <c r="V373" s="126">
        <v>1</v>
      </c>
      <c r="W373" s="137" t="s">
        <v>89</v>
      </c>
      <c r="X373" s="138"/>
      <c r="Y373" s="139"/>
      <c r="Z373" s="128">
        <v>11</v>
      </c>
      <c r="AA373" s="128" t="str">
        <f>IF((K$11=W373),V373,"")</f>
        <v/>
      </c>
      <c r="AB373" s="128" t="str">
        <f>IFERROR(SMALL(AA$373:AA$375,V373),"")</f>
        <v/>
      </c>
      <c r="AC373" s="128">
        <v>495</v>
      </c>
      <c r="AD373" s="7" t="b">
        <f>IF(AB$373=V373,K$13*(AC373*Z373))</f>
        <v>0</v>
      </c>
      <c r="AE373" s="7" t="b">
        <f>IF(AB$373=V373,K$14*(AC373*Z373))</f>
        <v>0</v>
      </c>
      <c r="AF373" s="7">
        <f>AD373-AE373</f>
        <v>0</v>
      </c>
      <c r="AG373" s="126"/>
      <c r="AH373" s="126"/>
      <c r="AI373" s="126"/>
      <c r="AJ373" s="126">
        <v>1</v>
      </c>
      <c r="AK373" s="137" t="s">
        <v>89</v>
      </c>
      <c r="AL373" s="138"/>
      <c r="AM373" s="139"/>
      <c r="AN373" s="128">
        <v>11</v>
      </c>
      <c r="AO373" s="128" t="str">
        <f>IF((L$11=AK373),AJ373,"")</f>
        <v/>
      </c>
      <c r="AP373" s="128" t="str">
        <f>IFERROR(SMALL(AO$373:AO$375,AJ373),"")</f>
        <v/>
      </c>
      <c r="AQ373" s="128">
        <v>495</v>
      </c>
      <c r="AR373" s="7" t="b">
        <f>IF(AP$373=AJ373,L$13*(AQ373*AN373))</f>
        <v>0</v>
      </c>
      <c r="AS373" s="7" t="b">
        <f>IF(AP$373=AJ373,L$14*(AQ373*AN373))</f>
        <v>0</v>
      </c>
      <c r="AT373" s="7">
        <f>AR373-AS373</f>
        <v>0</v>
      </c>
      <c r="AU373" s="126"/>
      <c r="AV373" s="126"/>
      <c r="AX373" s="126">
        <v>1</v>
      </c>
      <c r="AY373" s="137" t="s">
        <v>89</v>
      </c>
      <c r="AZ373" s="138"/>
      <c r="BA373" s="139"/>
      <c r="BB373" s="128">
        <v>11</v>
      </c>
      <c r="BC373" s="128" t="str">
        <f>IF((M$11=AY373),AX373,"")</f>
        <v/>
      </c>
      <c r="BD373" s="128" t="str">
        <f>IFERROR(SMALL(BC$373:BC$375,AX373),"")</f>
        <v/>
      </c>
      <c r="BE373" s="128">
        <v>495</v>
      </c>
      <c r="BF373" s="7" t="b">
        <f>IF(BD$373=AX373,M$13*(BE373*BB373))</f>
        <v>0</v>
      </c>
      <c r="BG373" s="7" t="b">
        <f>IF(BD$373=AX373,M$14*(BE373*BB373))</f>
        <v>0</v>
      </c>
      <c r="BH373" s="7">
        <f>BF373-BG373</f>
        <v>0</v>
      </c>
      <c r="BI373" s="126"/>
      <c r="BL373" s="128" t="e">
        <f>#REF!-#REF!</f>
        <v>#REF!</v>
      </c>
      <c r="BM373" s="126"/>
    </row>
    <row r="374" spans="6:65" s="123" customFormat="1" hidden="1">
      <c r="F374" s="126">
        <v>2</v>
      </c>
      <c r="G374" s="137" t="s">
        <v>156</v>
      </c>
      <c r="H374" s="138"/>
      <c r="I374" s="139"/>
      <c r="J374" s="128">
        <f>IF(I344=1,5.9557, IF(I344=2,10.1, IF(I344=3, 10.7, IF(I344=4, 9.38, IF(I344=5, 5.42, IF(I344=6, 3.09, IF(I344=7, 1.5, IF(I344=8, 1.5,""))))))))</f>
        <v>5.9557000000000002</v>
      </c>
      <c r="K374" s="128" t="str">
        <f>IF((J$11=G374),F374,"")</f>
        <v/>
      </c>
      <c r="L374" s="128" t="str">
        <f>IFERROR(SMALL(K$373:K$375,F374),"")</f>
        <v/>
      </c>
      <c r="M374" s="128">
        <v>301</v>
      </c>
      <c r="N374" s="3" t="b">
        <f>IF(L$373=F374,IF(J$8=G$68,J$13*J374*45366,IF(J$8=G$69,J$13*J374*31130)))</f>
        <v>0</v>
      </c>
      <c r="O374" s="7" t="b">
        <f>IF(L$373=F374,J$14*J374*45366)</f>
        <v>0</v>
      </c>
      <c r="P374" s="3">
        <f>(((N374-O374)/1000)*0.000001)*J$7</f>
        <v>0</v>
      </c>
      <c r="Q374" s="126" t="s">
        <v>64</v>
      </c>
      <c r="R374" s="126"/>
      <c r="S374" s="126"/>
      <c r="T374" s="126"/>
      <c r="V374" s="126">
        <v>2</v>
      </c>
      <c r="W374" s="137" t="s">
        <v>156</v>
      </c>
      <c r="X374" s="138"/>
      <c r="Y374" s="139"/>
      <c r="Z374" s="128">
        <f>IF(Y344=1,5.9557, IF(Y344=2,10.1, IF(Y344=3, 10.7, IF(Y344=4, 9.38, IF(Y344=5, 5.42, IF(Y344=6, 3.09, IF(Y344=7, 1.5, IF(Y344=8, 1.5,""))))))))</f>
        <v>5.9557000000000002</v>
      </c>
      <c r="AA374" s="128" t="str">
        <f>IF((K$11=W374),V374,"")</f>
        <v/>
      </c>
      <c r="AB374" s="128" t="str">
        <f t="shared" ref="AB374:AB375" si="162">IFERROR(SMALL(AA$373:AA$375,V374),"")</f>
        <v/>
      </c>
      <c r="AC374" s="128">
        <v>301</v>
      </c>
      <c r="AD374" s="3" t="b">
        <f>IF(AB$373=V374,IF(K$8=W$68,K$13*Z374*45366,IF(K$8=W$69,K$13*Z374*31130)))</f>
        <v>0</v>
      </c>
      <c r="AE374" s="7" t="b">
        <f>IF(AB$373=V374,K$14*Z374*45366)</f>
        <v>0</v>
      </c>
      <c r="AF374" s="3">
        <f>(((AD374-AE374)/1000)*0.000001)*K$7</f>
        <v>0</v>
      </c>
      <c r="AG374" s="126" t="s">
        <v>64</v>
      </c>
      <c r="AH374" s="126"/>
      <c r="AI374" s="126"/>
      <c r="AJ374" s="126">
        <v>2</v>
      </c>
      <c r="AK374" s="137" t="s">
        <v>156</v>
      </c>
      <c r="AL374" s="138"/>
      <c r="AM374" s="139"/>
      <c r="AN374" s="128">
        <f>IF(AM344=1,5.9557, IF(AM344=2,10.1, IF(AM344=3, 10.7, IF(AM344=4, 9.38, IF(AM344=5, 5.42, IF(AM344=6, 3.09, IF(AM344=7, 1.5, IF(AM344=8, 1.5,""))))))))</f>
        <v>5.9557000000000002</v>
      </c>
      <c r="AO374" s="128" t="str">
        <f t="shared" ref="AO374:AO375" si="163">IF((L$11=AK374),AJ374,"")</f>
        <v/>
      </c>
      <c r="AP374" s="128" t="str">
        <f t="shared" ref="AP374:AP375" si="164">IFERROR(SMALL(AO$373:AO$375,AJ374),"")</f>
        <v/>
      </c>
      <c r="AQ374" s="128">
        <v>301</v>
      </c>
      <c r="AR374" s="3" t="b">
        <f>IF(AP$373=AJ374,IF(L$8=AK$68,L$13*AN374*45366,IF(L$8=AK$69,L$13*AN374*31130)))</f>
        <v>0</v>
      </c>
      <c r="AS374" s="7" t="b">
        <f>IF(AP$373=AJ374,L$14*AN374*45366)</f>
        <v>0</v>
      </c>
      <c r="AT374" s="3">
        <f>(((AR374-AS374)/1000)*0.000001)*L$7</f>
        <v>0</v>
      </c>
      <c r="AU374" s="126" t="s">
        <v>64</v>
      </c>
      <c r="AV374" s="126"/>
      <c r="AX374" s="126">
        <v>2</v>
      </c>
      <c r="AY374" s="137" t="s">
        <v>156</v>
      </c>
      <c r="AZ374" s="138"/>
      <c r="BA374" s="139"/>
      <c r="BB374" s="128">
        <f>IF(BA344=1,5.9557, IF(BA344=2,10.1, IF(BA344=3, 10.7, IF(BA344=4, 9.38, IF(BA344=5, 5.42, IF(BA344=6, 3.09, IF(BA344=7, 1.5, IF(BA344=8, 1.5,""))))))))</f>
        <v>5.9557000000000002</v>
      </c>
      <c r="BC374" s="128" t="str">
        <f>IF((M$11=AY374),AX374,"")</f>
        <v/>
      </c>
      <c r="BD374" s="128" t="str">
        <f>IFERROR(SMALL(BC$373:BC$375,AX374),"")</f>
        <v/>
      </c>
      <c r="BE374" s="128">
        <v>301</v>
      </c>
      <c r="BF374" s="3" t="b">
        <f>IF(BD$373=AX374,IF(M$8=AY$68,M$13*BB374*45366,IF(M$8=AY$69,M$13*BB374*31130)))</f>
        <v>0</v>
      </c>
      <c r="BG374" s="7" t="b">
        <f>IF(BD$373=AX374,M$14*BB374*45366)</f>
        <v>0</v>
      </c>
      <c r="BH374" s="3">
        <f>(((BF374-BG374)/1000)*0.000001)*M$7</f>
        <v>0</v>
      </c>
      <c r="BI374" s="126" t="s">
        <v>64</v>
      </c>
      <c r="BL374" s="128" t="e">
        <f>((((#REF!-#REF!)/1000)*45366)*0.000001)*O12</f>
        <v>#REF!</v>
      </c>
      <c r="BM374" s="126" t="s">
        <v>64</v>
      </c>
    </row>
    <row r="375" spans="6:65" s="123" customFormat="1" hidden="1">
      <c r="F375" s="126">
        <v>3</v>
      </c>
      <c r="G375" s="137" t="s">
        <v>157</v>
      </c>
      <c r="H375" s="138"/>
      <c r="I375" s="139"/>
      <c r="J375" s="128">
        <f>IF(I344=1,4.66171, IF(I344=2, 8.1, IF(I344=3, 8.95, IF(I344=4, 7.51, IF(I344=5, 4.51, IF(I344=6, 2.57, IF(I344=7, 0.496, IF(I344=8, 0.496,""))))))))</f>
        <v>4.6617100000000002</v>
      </c>
      <c r="K375" s="128" t="str">
        <f>IF((J$11=G375),F375,"")</f>
        <v/>
      </c>
      <c r="L375" s="128" t="str">
        <f>IFERROR(SMALL(K$373:K$375,F375),"")</f>
        <v/>
      </c>
      <c r="M375" s="128">
        <v>247</v>
      </c>
      <c r="N375" s="3" t="b">
        <f>IF(L$373=F375,IF(J$8=G$68,J$13*J375*45366,IF(J$8=G$69,J$13*J375*31130)))</f>
        <v>0</v>
      </c>
      <c r="O375" s="7" t="b">
        <f>IF(L$373=F375,J$14*J375*45366)</f>
        <v>0</v>
      </c>
      <c r="P375" s="3">
        <f>(((N375-O375)/1000)*0.000001)*J$7</f>
        <v>0</v>
      </c>
      <c r="Q375" s="126" t="s">
        <v>64</v>
      </c>
      <c r="R375" s="126"/>
      <c r="S375" s="126"/>
      <c r="T375" s="126"/>
      <c r="V375" s="126">
        <v>3</v>
      </c>
      <c r="W375" s="137" t="s">
        <v>157</v>
      </c>
      <c r="X375" s="138"/>
      <c r="Y375" s="139"/>
      <c r="Z375" s="128">
        <f>IF(Y344=1,4.66171, IF(Y344=2, 8.1, IF(Y344=3, 8.95, IF(Y344=4, 7.51, IF(Y344=5, 4.51, IF(Y344=6, 2.57, IF(Y344=7, 0.496, IF(Y344=8, 0.496,""))))))))</f>
        <v>4.6617100000000002</v>
      </c>
      <c r="AA375" s="128" t="str">
        <f>IF((K$11=W375),V375,"")</f>
        <v/>
      </c>
      <c r="AB375" s="128" t="str">
        <f t="shared" si="162"/>
        <v/>
      </c>
      <c r="AC375" s="128">
        <v>247</v>
      </c>
      <c r="AD375" s="3" t="b">
        <f>IF(AB$373=V375,IF(K$8=W$68,K$13*Z375*45366,IF(K$8=W$69,K$13*Z375*31130)))</f>
        <v>0</v>
      </c>
      <c r="AE375" s="7" t="b">
        <f>IF(AB$373=V375,K$14*Z375*45366)</f>
        <v>0</v>
      </c>
      <c r="AF375" s="3">
        <f>(((AD375-AE375)/1000)*0.000001)*K$7</f>
        <v>0</v>
      </c>
      <c r="AG375" s="126" t="s">
        <v>64</v>
      </c>
      <c r="AH375" s="126"/>
      <c r="AI375" s="126"/>
      <c r="AJ375" s="126">
        <v>3</v>
      </c>
      <c r="AK375" s="137" t="s">
        <v>157</v>
      </c>
      <c r="AL375" s="138"/>
      <c r="AM375" s="139"/>
      <c r="AN375" s="128">
        <f>IF(AM344=1,4.66171, IF(AM344=2, 8.1, IF(AM344=3, 8.95, IF(AM344=4, 7.51, IF(AM344=5, 4.51, IF(AM344=6, 2.57, IF(AM344=7, 0.496, IF(AM344=8, 0.496,""))))))))</f>
        <v>4.6617100000000002</v>
      </c>
      <c r="AO375" s="128" t="str">
        <f t="shared" si="163"/>
        <v/>
      </c>
      <c r="AP375" s="128" t="str">
        <f t="shared" si="164"/>
        <v/>
      </c>
      <c r="AQ375" s="128">
        <v>247</v>
      </c>
      <c r="AR375" s="3" t="b">
        <f>IF(AP$373=AJ375,IF(L$8=AK$68,L$13*AN375*45366,IF(L$8=AK$69,L$13*AN375*31130)))</f>
        <v>0</v>
      </c>
      <c r="AS375" s="7" t="b">
        <f>IF(AP$373=AJ375,L$14*AN375*45366)</f>
        <v>0</v>
      </c>
      <c r="AT375" s="3">
        <f>(((AR375-AS375)/1000)*0.000001)*L$7</f>
        <v>0</v>
      </c>
      <c r="AU375" s="126" t="s">
        <v>64</v>
      </c>
      <c r="AV375" s="126"/>
      <c r="AX375" s="126">
        <v>3</v>
      </c>
      <c r="AY375" s="137" t="s">
        <v>157</v>
      </c>
      <c r="AZ375" s="138"/>
      <c r="BA375" s="139"/>
      <c r="BB375" s="128">
        <f>IF(BA344=1,4.66171, IF(BA344=2, 8.1, IF(BA344=3, 8.95, IF(BA344=4, 7.51, IF(BA344=5, 4.51, IF(BA344=6, 2.57, IF(BA344=7, 0.496, IF(BA344=8, 0.496,""))))))))</f>
        <v>4.6617100000000002</v>
      </c>
      <c r="BC375" s="128" t="str">
        <f>IF((M$11=AY375),AX375,"")</f>
        <v/>
      </c>
      <c r="BD375" s="128" t="str">
        <f t="shared" ref="BD375" si="165">IFERROR(SMALL(BC$373:BC$375,AX375),"")</f>
        <v/>
      </c>
      <c r="BE375" s="128">
        <v>247</v>
      </c>
      <c r="BF375" s="3" t="b">
        <f>IF(BD$373=AX375,IF(M$8=AY$68,M$13*BB375*45366,IF(M$8=AY$69,M$13*BB375*31130)))</f>
        <v>0</v>
      </c>
      <c r="BG375" s="7" t="b">
        <f>IF(BD$373=AX375,M$14*BB375*45366)</f>
        <v>0</v>
      </c>
      <c r="BH375" s="3">
        <f>(((BF375-BG375)/1000)*0.000001)*M$7</f>
        <v>0</v>
      </c>
      <c r="BI375" s="126" t="s">
        <v>64</v>
      </c>
      <c r="BL375" s="128" t="e">
        <f>((((#REF!-#REF!)/1000)*45366)*0.000001)*O12</f>
        <v>#REF!</v>
      </c>
      <c r="BM375" s="126" t="s">
        <v>64</v>
      </c>
    </row>
    <row r="376" spans="6:65" hidden="1">
      <c r="F376" s="2"/>
      <c r="G376" s="2"/>
      <c r="H376" s="2"/>
      <c r="I376" s="2"/>
      <c r="J376" s="2"/>
      <c r="K376" s="2"/>
      <c r="L376" s="2"/>
      <c r="M376" s="2"/>
      <c r="N376" s="2"/>
      <c r="O376" s="2"/>
      <c r="P376" s="2"/>
      <c r="Q376" s="2"/>
      <c r="R376" s="2"/>
      <c r="S376" s="2"/>
      <c r="T376" s="2"/>
      <c r="V376" s="2"/>
      <c r="W376" s="2"/>
      <c r="X376" s="2"/>
      <c r="Y376" s="2"/>
      <c r="Z376" s="2"/>
      <c r="AA376" s="2"/>
      <c r="AB376" s="2"/>
      <c r="AC376" s="2"/>
      <c r="AD376" s="2"/>
      <c r="AE376" s="2"/>
      <c r="AF376" s="2"/>
      <c r="AG376" s="2"/>
      <c r="AH376" s="2"/>
      <c r="AI376" s="2"/>
      <c r="AJ376" s="2"/>
      <c r="AK376" s="2"/>
      <c r="AL376" s="2"/>
      <c r="AM376" s="2"/>
      <c r="AN376" s="2"/>
      <c r="AO376" s="2"/>
      <c r="AP376" s="2"/>
      <c r="AQ376" s="2"/>
      <c r="AR376" s="2"/>
      <c r="AS376" s="2"/>
      <c r="AT376" s="2"/>
      <c r="AU376" s="2"/>
      <c r="AV376" s="2"/>
      <c r="AX376" s="2"/>
      <c r="AY376" s="2"/>
      <c r="AZ376" s="2"/>
      <c r="BA376" s="2"/>
      <c r="BB376" s="2"/>
      <c r="BC376" s="2"/>
      <c r="BD376" s="2"/>
      <c r="BE376" s="2"/>
      <c r="BF376" s="2"/>
      <c r="BG376" s="2"/>
      <c r="BH376" s="2"/>
      <c r="BI376" s="2"/>
      <c r="BL376" s="2"/>
      <c r="BM376" s="2"/>
    </row>
    <row r="377" spans="6:65" hidden="1">
      <c r="F377" s="2"/>
      <c r="G377" s="2"/>
      <c r="H377" s="2"/>
      <c r="I377" s="2"/>
      <c r="J377" s="2"/>
      <c r="K377" s="2"/>
      <c r="L377" s="2"/>
      <c r="M377" s="2"/>
      <c r="N377" s="2"/>
      <c r="O377" s="2"/>
      <c r="P377" s="2"/>
      <c r="Q377" s="2"/>
      <c r="R377" s="2"/>
      <c r="S377" s="2"/>
      <c r="T377" s="2"/>
      <c r="V377" s="2"/>
      <c r="W377" s="2"/>
      <c r="X377" s="2"/>
      <c r="Y377" s="2"/>
      <c r="Z377" s="2"/>
      <c r="AA377" s="2"/>
      <c r="AB377" s="2"/>
      <c r="AC377" s="2"/>
      <c r="AD377" s="2"/>
      <c r="AE377" s="2"/>
      <c r="AF377" s="2"/>
      <c r="AG377" s="2"/>
      <c r="AH377" s="2"/>
      <c r="AI377" s="2"/>
      <c r="AJ377" s="2"/>
      <c r="AK377" s="2"/>
      <c r="AL377" s="2"/>
      <c r="AM377" s="2"/>
      <c r="AN377" s="2"/>
      <c r="AO377" s="2"/>
      <c r="AP377" s="2"/>
      <c r="AQ377" s="2"/>
      <c r="AR377" s="2"/>
      <c r="AS377" s="2"/>
      <c r="AT377" s="2"/>
      <c r="AU377" s="2"/>
      <c r="AV377" s="2"/>
      <c r="AX377" s="2"/>
      <c r="AY377" s="2"/>
      <c r="AZ377" s="2"/>
      <c r="BA377" s="2"/>
      <c r="BB377" s="2"/>
      <c r="BC377" s="2"/>
      <c r="BD377" s="2"/>
      <c r="BE377" s="2"/>
      <c r="BF377" s="2"/>
      <c r="BG377" s="2"/>
      <c r="BH377" s="2"/>
      <c r="BI377" s="2"/>
      <c r="BL377" s="2"/>
      <c r="BM377" s="2"/>
    </row>
    <row r="378" spans="6:65" hidden="1">
      <c r="F378" s="2"/>
      <c r="G378" s="2"/>
      <c r="H378" s="2"/>
      <c r="I378" s="2"/>
      <c r="J378" s="12" t="s">
        <v>57</v>
      </c>
      <c r="K378" s="2" t="s">
        <v>58</v>
      </c>
      <c r="L378" s="2" t="s">
        <v>58</v>
      </c>
      <c r="M378" s="12" t="s">
        <v>59</v>
      </c>
      <c r="N378" s="2" t="s">
        <v>60</v>
      </c>
      <c r="O378" s="2" t="s">
        <v>61</v>
      </c>
      <c r="P378" s="2" t="s">
        <v>62</v>
      </c>
      <c r="Q378" s="2"/>
      <c r="R378" s="2"/>
      <c r="S378" s="2"/>
      <c r="T378" s="2"/>
      <c r="V378" s="2"/>
      <c r="W378" s="2"/>
      <c r="X378" s="2"/>
      <c r="Y378" s="2"/>
      <c r="Z378" s="12" t="s">
        <v>57</v>
      </c>
      <c r="AA378" s="2" t="s">
        <v>58</v>
      </c>
      <c r="AB378" s="2" t="s">
        <v>58</v>
      </c>
      <c r="AC378" s="12" t="s">
        <v>59</v>
      </c>
      <c r="AD378" s="2" t="s">
        <v>60</v>
      </c>
      <c r="AE378" s="2" t="s">
        <v>61</v>
      </c>
      <c r="AF378" s="2" t="s">
        <v>62</v>
      </c>
      <c r="AG378" s="2"/>
      <c r="AH378" s="2"/>
      <c r="AI378" s="2"/>
      <c r="AJ378" s="2"/>
      <c r="AK378" s="2"/>
      <c r="AL378" s="2"/>
      <c r="AM378" s="2"/>
      <c r="AN378" s="12" t="s">
        <v>57</v>
      </c>
      <c r="AO378" s="2" t="s">
        <v>58</v>
      </c>
      <c r="AP378" s="2" t="s">
        <v>58</v>
      </c>
      <c r="AQ378" s="12" t="s">
        <v>59</v>
      </c>
      <c r="AR378" s="2" t="s">
        <v>60</v>
      </c>
      <c r="AS378" s="2" t="s">
        <v>61</v>
      </c>
      <c r="AT378" s="2" t="s">
        <v>62</v>
      </c>
      <c r="AU378" s="2"/>
      <c r="AV378" s="2"/>
      <c r="AX378" s="2"/>
      <c r="AY378" s="2"/>
      <c r="AZ378" s="2"/>
      <c r="BA378" s="2"/>
      <c r="BB378" s="12" t="s">
        <v>57</v>
      </c>
      <c r="BC378" s="2" t="s">
        <v>58</v>
      </c>
      <c r="BD378" s="2" t="s">
        <v>58</v>
      </c>
      <c r="BE378" s="12" t="s">
        <v>59</v>
      </c>
      <c r="BF378" s="2" t="s">
        <v>60</v>
      </c>
      <c r="BG378" s="2" t="s">
        <v>61</v>
      </c>
      <c r="BH378" s="2" t="s">
        <v>62</v>
      </c>
      <c r="BI378" s="2"/>
      <c r="BL378" s="2" t="s">
        <v>62</v>
      </c>
      <c r="BM378" s="2"/>
    </row>
    <row r="379" spans="6:65" hidden="1">
      <c r="F379" s="11">
        <v>1</v>
      </c>
      <c r="G379" s="10" t="s">
        <v>89</v>
      </c>
      <c r="H379" s="9"/>
      <c r="I379" s="8"/>
      <c r="J379" s="13"/>
      <c r="K379" s="7" t="str">
        <f>IF((J$9=G379),F379,"")</f>
        <v/>
      </c>
      <c r="L379" s="7" t="str">
        <f>IFERROR(SMALL(K$379:K$381,F379),"")</f>
        <v/>
      </c>
      <c r="M379" s="7">
        <v>495</v>
      </c>
      <c r="N379" s="7"/>
      <c r="O379" s="7"/>
      <c r="P379" s="7" t="s">
        <v>92</v>
      </c>
      <c r="Q379" s="2"/>
      <c r="R379" s="2"/>
      <c r="S379" s="2"/>
      <c r="T379" s="2"/>
      <c r="V379" s="11">
        <v>1</v>
      </c>
      <c r="W379" s="10" t="s">
        <v>89</v>
      </c>
      <c r="X379" s="9"/>
      <c r="Y379" s="8"/>
      <c r="Z379" s="13"/>
      <c r="AA379" s="7" t="str">
        <f>IF((K$9=W379),V379,"")</f>
        <v/>
      </c>
      <c r="AB379" s="7" t="str">
        <f>IFERROR(SMALL(AA$379:AA$381,V379),"")</f>
        <v/>
      </c>
      <c r="AC379" s="7">
        <v>495</v>
      </c>
      <c r="AD379" s="7"/>
      <c r="AE379" s="7"/>
      <c r="AF379" s="7" t="s">
        <v>92</v>
      </c>
      <c r="AG379" s="2"/>
      <c r="AH379" s="2"/>
      <c r="AI379" s="2"/>
      <c r="AJ379" s="11">
        <v>1</v>
      </c>
      <c r="AK379" s="10" t="s">
        <v>89</v>
      </c>
      <c r="AL379" s="9"/>
      <c r="AM379" s="8"/>
      <c r="AN379" s="13"/>
      <c r="AO379" s="7" t="str">
        <f>IF((L$9=AK379),AJ379,"")</f>
        <v/>
      </c>
      <c r="AP379" s="7" t="str">
        <f>IFERROR(SMALL(AO$379:AO$381,AJ379),"")</f>
        <v/>
      </c>
      <c r="AQ379" s="7">
        <v>495</v>
      </c>
      <c r="AR379" s="7"/>
      <c r="AS379" s="7"/>
      <c r="AT379" s="7" t="s">
        <v>92</v>
      </c>
      <c r="AU379" s="2"/>
      <c r="AV379" s="2"/>
      <c r="AX379" s="11">
        <v>1</v>
      </c>
      <c r="AY379" s="10" t="s">
        <v>89</v>
      </c>
      <c r="AZ379" s="9"/>
      <c r="BA379" s="8"/>
      <c r="BB379" s="13"/>
      <c r="BC379" s="7" t="str">
        <f>IF((M$9=AY379),AX379,"")</f>
        <v/>
      </c>
      <c r="BD379" s="7" t="str">
        <f>IFERROR(SMALL(BC$379:BC$381,AX379),"")</f>
        <v/>
      </c>
      <c r="BE379" s="7">
        <v>495</v>
      </c>
      <c r="BF379" s="7"/>
      <c r="BG379" s="7"/>
      <c r="BH379" s="7" t="s">
        <v>92</v>
      </c>
      <c r="BI379" s="2"/>
      <c r="BL379" s="7" t="s">
        <v>92</v>
      </c>
      <c r="BM379" s="2"/>
    </row>
    <row r="380" spans="6:65" hidden="1">
      <c r="F380" s="2">
        <v>2</v>
      </c>
      <c r="G380" s="6" t="s">
        <v>156</v>
      </c>
      <c r="H380" s="5"/>
      <c r="I380" s="4"/>
      <c r="J380" s="3" t="str">
        <f>IF(I334=1,0.0058, IF(I334=2, 0.0029, IF(I334=3, 0.0029, IF(I334=4,0.0029, IF(I334=5, 0.0029, IF(I334=6, 0.011, IF(I334=7, 0.009, IF(I334=8, 0.009,""))))))))</f>
        <v/>
      </c>
      <c r="K380" s="3" t="str">
        <f>IF((J$9=G380),F380,"")</f>
        <v/>
      </c>
      <c r="L380" s="3" t="str">
        <f>IFERROR(SMALL(K$379:K$381,F380),"")</f>
        <v/>
      </c>
      <c r="M380" s="3">
        <v>301</v>
      </c>
      <c r="N380" s="3" t="b">
        <f>IF(L$379=F380,IF(J$8=G$68,J$13*J380*45366,IF(J$8=G$69, J$13*J380*31130)))</f>
        <v>0</v>
      </c>
      <c r="O380" s="7" t="b">
        <f>IF(L$379=F380,J$14*J380*45366)</f>
        <v>0</v>
      </c>
      <c r="P380" s="3">
        <f>(((N380-O380)/1000)*0.000001)*J$7</f>
        <v>0</v>
      </c>
      <c r="Q380" s="2" t="s">
        <v>64</v>
      </c>
      <c r="R380" s="2"/>
      <c r="S380" s="2"/>
      <c r="T380" s="2"/>
      <c r="V380" s="2">
        <v>2</v>
      </c>
      <c r="W380" s="6" t="s">
        <v>156</v>
      </c>
      <c r="X380" s="5"/>
      <c r="Y380" s="4"/>
      <c r="Z380" s="3" t="str">
        <f>IF(Y334=1,0.0058, IF(Y334=2, 0.0029, IF(Y334=3, 0.0029, IF(Y334=4,0.0029, IF(Y334=5, 0.0029, IF(Y334=6, 0.011, IF(Y334=7, 0.009, IF(Y334=8, 0.009,""))))))))</f>
        <v/>
      </c>
      <c r="AA380" s="3" t="str">
        <f>IF((K$9=W380),V380,"")</f>
        <v/>
      </c>
      <c r="AB380" s="3" t="str">
        <f>IFERROR(SMALL(AA$379:AA$381,V380),"")</f>
        <v/>
      </c>
      <c r="AC380" s="3">
        <v>301</v>
      </c>
      <c r="AD380" s="3" t="b">
        <f>IF(AB$379=V380,IF(K$8=W$68,K$13*Z380*45366, IF(K$8=W$69,K$13*Z380*31130)))</f>
        <v>0</v>
      </c>
      <c r="AE380" s="7" t="b">
        <f>IF(AB$379=V380,K$14*Z380*45366)</f>
        <v>0</v>
      </c>
      <c r="AF380" s="3">
        <f>(((AD380-AE380)/1000)*0.000001)*K$7</f>
        <v>0</v>
      </c>
      <c r="AG380" s="2" t="s">
        <v>64</v>
      </c>
      <c r="AH380" s="2"/>
      <c r="AI380" s="2"/>
      <c r="AJ380" s="2">
        <v>2</v>
      </c>
      <c r="AK380" s="6" t="s">
        <v>156</v>
      </c>
      <c r="AL380" s="5"/>
      <c r="AM380" s="4"/>
      <c r="AN380" s="3" t="str">
        <f>IF(AM334=1,0.0058, IF(AM334=2, 0.0029, IF(AM334=3, 0.0029, IF(AM334=4,0.0029, IF(AM334=5, 0.0029, IF(AM334=6, 0.011, IF(AM334=7, 0.009, IF(AM334=8, 0.009,""))))))))</f>
        <v/>
      </c>
      <c r="AO380" s="3" t="str">
        <f>IF((L$9=AK380),AJ380,"")</f>
        <v/>
      </c>
      <c r="AP380" s="3" t="str">
        <f>IFERROR(SMALL(AO$379:AO$381,AJ380),"")</f>
        <v/>
      </c>
      <c r="AQ380" s="3">
        <v>301</v>
      </c>
      <c r="AR380" s="3" t="b">
        <f>IF(AP$379=AJ380,IF(L$8=AK$68,L$13*AN380*45366,IF(L$8=AK$69,L$13*AN380*31130)))</f>
        <v>0</v>
      </c>
      <c r="AS380" s="7" t="b">
        <f>IF(AP$379=AJ380,L$14*AN380*45366)</f>
        <v>0</v>
      </c>
      <c r="AT380" s="3">
        <f>(((AR380-AS380)/1000)*0.000001)*L$7</f>
        <v>0</v>
      </c>
      <c r="AU380" s="2" t="s">
        <v>64</v>
      </c>
      <c r="AV380" s="2"/>
      <c r="AX380" s="2">
        <v>2</v>
      </c>
      <c r="AY380" s="6" t="s">
        <v>156</v>
      </c>
      <c r="AZ380" s="5"/>
      <c r="BA380" s="4"/>
      <c r="BB380" s="3" t="str">
        <f>IF(BA334=1,0.0058, IF(BA334=2, 0.0029, IF(BA334=3, 0.0029, IF(BA334=4,0.0029, IF(BA334=5, 0.0029, IF(BA334=6, 0.011, IF(BA334=7, 0.009, IF(BA334=8, 0.009,""))))))))</f>
        <v/>
      </c>
      <c r="BC380" s="3" t="str">
        <f>IF((M$9=AY380),AX380,"")</f>
        <v/>
      </c>
      <c r="BD380" s="3" t="str">
        <f>IFERROR(SMALL(BC$379:BC$381,AX380),"")</f>
        <v/>
      </c>
      <c r="BE380" s="3">
        <v>301</v>
      </c>
      <c r="BF380" s="3" t="b">
        <f>IF(BD$379=AX380,IF(M$8=AY$68,M$13*BB380*45366,IF(M$8=AY$69,M$13*BB380*31130)))</f>
        <v>0</v>
      </c>
      <c r="BG380" s="7" t="b">
        <f>IF(BD$379=AX380,M$14*BB380*45366)</f>
        <v>0</v>
      </c>
      <c r="BH380" s="3">
        <f>(((BF380-BG380)/1000)*0.000001)*M$7</f>
        <v>0</v>
      </c>
      <c r="BI380" s="2" t="s">
        <v>64</v>
      </c>
      <c r="BL380" s="3" t="e">
        <f>((((#REF!-#REF!)/1000)*45366)*0.000001)*O7</f>
        <v>#REF!</v>
      </c>
      <c r="BM380" s="2" t="s">
        <v>64</v>
      </c>
    </row>
    <row r="381" spans="6:65" hidden="1">
      <c r="F381" s="2">
        <v>3</v>
      </c>
      <c r="G381" s="6" t="s">
        <v>157</v>
      </c>
      <c r="H381" s="5"/>
      <c r="I381" s="4"/>
      <c r="J381" s="3" t="str">
        <f>IF(I334=1,0.0058, IF(I334=2, 0.0029, IF(I334=3, 0.0029, IF(I334=4, 0.0029, IF(I334=5, 0.0029, IF(I334=6, 0.011, IF(I334=7, 0.009, IF(I334=8, 0.009, ""))))))))</f>
        <v/>
      </c>
      <c r="K381" s="3" t="str">
        <f>IF((J$9=G381),F381,"")</f>
        <v/>
      </c>
      <c r="L381" s="3" t="str">
        <f>IFERROR(SMALL(K$379:K$381,F381),"")</f>
        <v/>
      </c>
      <c r="M381" s="3">
        <v>247</v>
      </c>
      <c r="N381" s="3" t="b">
        <f>IF(L$379=F381,IF(J$8=G$68,J$13*J381*45366,IF(J$8=G$69, J$13*J381*31130)))</f>
        <v>0</v>
      </c>
      <c r="O381" s="7" t="b">
        <f>IF(L$379=F381,J$14*J381*45366)</f>
        <v>0</v>
      </c>
      <c r="P381" s="3">
        <f>(((N381-O381)/1000)*0.000001)*J$7</f>
        <v>0</v>
      </c>
      <c r="Q381" s="2" t="s">
        <v>64</v>
      </c>
      <c r="R381" s="2"/>
      <c r="S381" s="2"/>
      <c r="T381" s="2"/>
      <c r="V381" s="2">
        <v>3</v>
      </c>
      <c r="W381" s="6" t="s">
        <v>157</v>
      </c>
      <c r="X381" s="5"/>
      <c r="Y381" s="4"/>
      <c r="Z381" s="3" t="str">
        <f>IF(Y334=1,0.0058, IF(Y334=2, 0.0029, IF(Y334=3, 0.0029, IF(Y334=4, 0.0029, IF(Y334=5, 0.0029, IF(Y334=6, 0.011, IF(Y334=7, 0.009, IF(Y334=8, 0.009, ""))))))))</f>
        <v/>
      </c>
      <c r="AA381" s="3" t="str">
        <f>IF((K$9=W381),V381,"")</f>
        <v/>
      </c>
      <c r="AB381" s="3" t="str">
        <f>IFERROR(SMALL(AA$379:AA$381,V381),"")</f>
        <v/>
      </c>
      <c r="AC381" s="3">
        <v>247</v>
      </c>
      <c r="AD381" s="3" t="b">
        <f>IF(AB$379=V381,IF(K$8=W$68,K$13*Z381*45366, IF(K$8=W$69,K$13*Z381*31130)))</f>
        <v>0</v>
      </c>
      <c r="AE381" s="7" t="b">
        <f>IF(AB$379=V381,K$14*Z381*45366)</f>
        <v>0</v>
      </c>
      <c r="AF381" s="3">
        <f>(((AD381-AE381)/1000)*0.000001)*K$7</f>
        <v>0</v>
      </c>
      <c r="AG381" s="2" t="s">
        <v>64</v>
      </c>
      <c r="AH381" s="2"/>
      <c r="AI381" s="2"/>
      <c r="AJ381" s="2">
        <v>3</v>
      </c>
      <c r="AK381" s="6" t="s">
        <v>157</v>
      </c>
      <c r="AL381" s="5"/>
      <c r="AM381" s="4"/>
      <c r="AN381" s="3" t="str">
        <f>IF(AM334=1,0.0058, IF(AM334=2, 0.0029, IF(AM334=3, 0.0029, IF(AM334=4, 0.0029, IF(AM334=5, 0.0029, IF(AM334=6, 0.011, IF(AM334=7, 0.009, IF(AM334=8, 0.009, ""))))))))</f>
        <v/>
      </c>
      <c r="AO381" s="3" t="str">
        <f>IF((L$9=AK381),AJ381,"")</f>
        <v/>
      </c>
      <c r="AP381" s="3" t="str">
        <f>IFERROR(SMALL(AO$379:AO$381,AJ381),"")</f>
        <v/>
      </c>
      <c r="AQ381" s="3">
        <v>247</v>
      </c>
      <c r="AR381" s="3" t="b">
        <f>IF(AP$379=AJ381,IF(L$8=AK$68,L$13*AN381*45366,IF(L$8=AK$69,L$13*AN381*31130)))</f>
        <v>0</v>
      </c>
      <c r="AS381" s="7" t="b">
        <f>IF(AP$379=AJ381,L$14*AN381*45366)</f>
        <v>0</v>
      </c>
      <c r="AT381" s="3">
        <f>(((AR381-AS381)/1000)*0.000001)*L$7</f>
        <v>0</v>
      </c>
      <c r="AU381" s="2" t="s">
        <v>64</v>
      </c>
      <c r="AV381" s="2"/>
      <c r="AX381" s="2">
        <v>3</v>
      </c>
      <c r="AY381" s="6" t="s">
        <v>157</v>
      </c>
      <c r="AZ381" s="5"/>
      <c r="BA381" s="4"/>
      <c r="BB381" s="3" t="str">
        <f>IF(BA334=1,0.0058, IF(BA334=2, 0.0029, IF(BA334=3, 0.0029, IF(BA334=4, 0.0029, IF(BA334=5, 0.0029, IF(BA334=6, 0.011, IF(BA334=7, 0.009, IF(BA334=8, 0.009, ""))))))))</f>
        <v/>
      </c>
      <c r="BC381" s="3" t="str">
        <f>IF((M$9=AY381),AX381,"")</f>
        <v/>
      </c>
      <c r="BD381" s="3" t="str">
        <f>IFERROR(SMALL(BC$379:BC$381,AX381),"")</f>
        <v/>
      </c>
      <c r="BE381" s="3">
        <v>247</v>
      </c>
      <c r="BF381" s="3" t="b">
        <f>IF(BD$379=AX381,IF(M$8=AY$68,M$13*BB381*45366,IF(M$8=AY$69,M$13*BB381*31130)))</f>
        <v>0</v>
      </c>
      <c r="BG381" s="7" t="b">
        <f>IF(BD$379=AX381,M$14*BB381*45366)</f>
        <v>0</v>
      </c>
      <c r="BH381" s="3">
        <f>(((BF381-BG381)/1000)*0.000001)*M$7</f>
        <v>0</v>
      </c>
      <c r="BI381" s="2" t="s">
        <v>64</v>
      </c>
      <c r="BL381" s="3" t="e">
        <f>((((#REF!-#REF!)/1000)*45366)*0.000001)*O7</f>
        <v>#REF!</v>
      </c>
      <c r="BM381" s="2" t="s">
        <v>64</v>
      </c>
    </row>
    <row r="382" spans="6:65" hidden="1">
      <c r="F382" s="2"/>
      <c r="G382" s="2"/>
      <c r="H382" s="2"/>
      <c r="I382" s="2"/>
      <c r="J382" s="2"/>
      <c r="K382" s="2"/>
      <c r="L382" s="2"/>
      <c r="M382" s="2"/>
      <c r="N382" s="2"/>
      <c r="O382" s="2"/>
      <c r="P382" s="2"/>
      <c r="Q382" s="2"/>
      <c r="R382" s="2"/>
      <c r="S382" s="2"/>
      <c r="T382" s="2"/>
      <c r="V382" s="2"/>
      <c r="W382" s="2"/>
      <c r="X382" s="2"/>
      <c r="Y382" s="2"/>
      <c r="Z382" s="2"/>
      <c r="AA382" s="2"/>
      <c r="AB382" s="2"/>
      <c r="AC382" s="2"/>
      <c r="AD382" s="2"/>
      <c r="AE382" s="2"/>
      <c r="AF382" s="2"/>
      <c r="AG382" s="2"/>
      <c r="AH382" s="2"/>
      <c r="AI382" s="2"/>
      <c r="AJ382" s="2"/>
      <c r="AK382" s="2"/>
      <c r="AL382" s="2"/>
      <c r="AM382" s="2"/>
      <c r="AN382" s="2"/>
      <c r="AO382" s="2"/>
      <c r="AP382" s="2"/>
      <c r="AQ382" s="2"/>
      <c r="AR382" s="2"/>
      <c r="AS382" s="2"/>
      <c r="AT382" s="2"/>
      <c r="AU382" s="2"/>
      <c r="AV382" s="2"/>
      <c r="AX382" s="2"/>
      <c r="AY382" s="2"/>
      <c r="AZ382" s="2"/>
      <c r="BA382" s="2"/>
      <c r="BB382" s="2"/>
      <c r="BC382" s="2"/>
      <c r="BD382" s="2"/>
      <c r="BE382" s="2"/>
      <c r="BF382" s="2"/>
      <c r="BG382" s="2"/>
      <c r="BH382" s="2"/>
      <c r="BI382" s="2"/>
      <c r="BL382" s="2"/>
      <c r="BM382" s="2"/>
    </row>
    <row r="383" spans="6:65" s="123" customFormat="1" hidden="1">
      <c r="F383" s="126"/>
      <c r="G383" s="126"/>
      <c r="H383" s="126"/>
      <c r="I383" s="126"/>
      <c r="J383" s="127" t="s">
        <v>57</v>
      </c>
      <c r="K383" s="126" t="s">
        <v>58</v>
      </c>
      <c r="L383" s="126" t="s">
        <v>58</v>
      </c>
      <c r="M383" s="127" t="s">
        <v>59</v>
      </c>
      <c r="N383" s="126" t="s">
        <v>60</v>
      </c>
      <c r="O383" s="126" t="s">
        <v>61</v>
      </c>
      <c r="P383" s="126" t="s">
        <v>62</v>
      </c>
      <c r="Q383" s="126"/>
      <c r="R383" s="126"/>
      <c r="S383" s="126"/>
      <c r="T383" s="126"/>
      <c r="V383" s="126"/>
      <c r="W383" s="126"/>
      <c r="X383" s="126"/>
      <c r="Y383" s="126"/>
      <c r="Z383" s="127" t="s">
        <v>57</v>
      </c>
      <c r="AA383" s="126" t="s">
        <v>58</v>
      </c>
      <c r="AB383" s="126" t="s">
        <v>58</v>
      </c>
      <c r="AC383" s="127" t="s">
        <v>59</v>
      </c>
      <c r="AD383" s="126" t="s">
        <v>60</v>
      </c>
      <c r="AE383" s="126" t="s">
        <v>61</v>
      </c>
      <c r="AF383" s="126" t="s">
        <v>62</v>
      </c>
      <c r="AG383" s="126"/>
      <c r="AH383" s="126"/>
      <c r="AI383" s="126"/>
      <c r="AJ383" s="126"/>
      <c r="AK383" s="126"/>
      <c r="AL383" s="126"/>
      <c r="AM383" s="126"/>
      <c r="AN383" s="127" t="s">
        <v>57</v>
      </c>
      <c r="AO383" s="126" t="s">
        <v>58</v>
      </c>
      <c r="AP383" s="126" t="s">
        <v>58</v>
      </c>
      <c r="AQ383" s="127" t="s">
        <v>59</v>
      </c>
      <c r="AR383" s="126" t="s">
        <v>60</v>
      </c>
      <c r="AS383" s="126" t="s">
        <v>61</v>
      </c>
      <c r="AT383" s="126" t="s">
        <v>62</v>
      </c>
      <c r="AU383" s="126"/>
      <c r="AV383" s="126"/>
      <c r="AX383" s="126"/>
      <c r="AY383" s="126"/>
      <c r="AZ383" s="126"/>
      <c r="BA383" s="126"/>
      <c r="BB383" s="127" t="s">
        <v>57</v>
      </c>
      <c r="BC383" s="126" t="s">
        <v>58</v>
      </c>
      <c r="BD383" s="126" t="s">
        <v>58</v>
      </c>
      <c r="BE383" s="127" t="s">
        <v>59</v>
      </c>
      <c r="BF383" s="126" t="s">
        <v>60</v>
      </c>
      <c r="BG383" s="126" t="s">
        <v>61</v>
      </c>
      <c r="BH383" s="126" t="s">
        <v>62</v>
      </c>
      <c r="BI383" s="126"/>
      <c r="BL383" s="126" t="s">
        <v>62</v>
      </c>
      <c r="BM383" s="126"/>
    </row>
    <row r="384" spans="6:65" s="123" customFormat="1" hidden="1">
      <c r="F384" s="126">
        <v>1</v>
      </c>
      <c r="G384" s="137" t="s">
        <v>89</v>
      </c>
      <c r="H384" s="138"/>
      <c r="I384" s="139"/>
      <c r="K384" s="128" t="str">
        <f>IF((J$11=G384),F384,"")</f>
        <v/>
      </c>
      <c r="L384" s="128" t="str">
        <f>IFERROR(SMALL(K$384:K$386,F384),"")</f>
        <v/>
      </c>
      <c r="M384" s="128">
        <v>495</v>
      </c>
      <c r="N384" s="128"/>
      <c r="O384" s="128"/>
      <c r="P384" s="128" t="s">
        <v>92</v>
      </c>
      <c r="Q384" s="126"/>
      <c r="R384" s="126"/>
      <c r="S384" s="126"/>
      <c r="T384" s="126"/>
      <c r="V384" s="126">
        <v>1</v>
      </c>
      <c r="W384" s="137" t="s">
        <v>89</v>
      </c>
      <c r="X384" s="138"/>
      <c r="Y384" s="139"/>
      <c r="AA384" s="128" t="str">
        <f>IF((K$11=W384),V384,"")</f>
        <v/>
      </c>
      <c r="AB384" s="128" t="str">
        <f>IFERROR(SMALL(AA$384:AA$386,V384),"")</f>
        <v/>
      </c>
      <c r="AC384" s="128">
        <v>495</v>
      </c>
      <c r="AD384" s="128"/>
      <c r="AE384" s="128"/>
      <c r="AF384" s="128" t="s">
        <v>92</v>
      </c>
      <c r="AG384" s="126"/>
      <c r="AH384" s="126"/>
      <c r="AI384" s="126"/>
      <c r="AJ384" s="126">
        <v>1</v>
      </c>
      <c r="AK384" s="137" t="s">
        <v>89</v>
      </c>
      <c r="AL384" s="138"/>
      <c r="AM384" s="139"/>
      <c r="AO384" s="128" t="str">
        <f>IF((L$11=AK384),AJ384,"")</f>
        <v/>
      </c>
      <c r="AP384" s="128" t="str">
        <f>IFERROR(SMALL(AO$384:AO$386,AJ384),"")</f>
        <v/>
      </c>
      <c r="AQ384" s="128">
        <v>495</v>
      </c>
      <c r="AR384" s="128"/>
      <c r="AS384" s="128"/>
      <c r="AT384" s="128" t="s">
        <v>92</v>
      </c>
      <c r="AU384" s="126"/>
      <c r="AV384" s="126"/>
      <c r="AX384" s="126">
        <v>1</v>
      </c>
      <c r="AY384" s="137" t="s">
        <v>89</v>
      </c>
      <c r="AZ384" s="138"/>
      <c r="BA384" s="139"/>
      <c r="BC384" s="128" t="str">
        <f>IF((M$11=AY384),AX384,"")</f>
        <v/>
      </c>
      <c r="BD384" s="128" t="str">
        <f>IFERROR(SMALL(BC$384:BC$386,AX384),"")</f>
        <v/>
      </c>
      <c r="BE384" s="128">
        <v>495</v>
      </c>
      <c r="BF384" s="128"/>
      <c r="BG384" s="128"/>
      <c r="BH384" s="128" t="s">
        <v>92</v>
      </c>
      <c r="BI384" s="126"/>
      <c r="BL384" s="128" t="s">
        <v>92</v>
      </c>
      <c r="BM384" s="126"/>
    </row>
    <row r="385" spans="6:65" s="123" customFormat="1" hidden="1">
      <c r="F385" s="126">
        <v>2</v>
      </c>
      <c r="G385" s="137" t="s">
        <v>156</v>
      </c>
      <c r="H385" s="138"/>
      <c r="I385" s="139"/>
      <c r="J385" s="128">
        <f>IF(I344=1,0.0058, IF(I344=2, 0.0029, IF(I344=3, 0.0029, IF(I344=4,0.0029, IF(I344=5, 0.0029, IF(I344=6, 0.011, IF(I344=7, 0.009, IF(I344=8, 0.009,""))))))))</f>
        <v>5.7999999999999996E-3</v>
      </c>
      <c r="K385" s="128" t="str">
        <f>IF((J$11=G385),F385,"")</f>
        <v/>
      </c>
      <c r="L385" s="128" t="str">
        <f>IFERROR(SMALL(K$384:K$386,F385),"")</f>
        <v/>
      </c>
      <c r="M385" s="128">
        <v>301</v>
      </c>
      <c r="N385" s="3" t="b">
        <f>IF(L$384=F385,IF(J$8=G$68,J$13*J385*45366,IF(J$8=G$69,J$13*J385*31130)))</f>
        <v>0</v>
      </c>
      <c r="O385" s="7" t="b">
        <f>IF(L$384=F385,J$14*J385*45366)</f>
        <v>0</v>
      </c>
      <c r="P385" s="3">
        <f>(((N385-O385)/1000)*0.000001)*J$7</f>
        <v>0</v>
      </c>
      <c r="Q385" s="126" t="s">
        <v>64</v>
      </c>
      <c r="R385" s="126"/>
      <c r="S385" s="126"/>
      <c r="T385" s="126"/>
      <c r="V385" s="126">
        <v>2</v>
      </c>
      <c r="W385" s="137" t="s">
        <v>156</v>
      </c>
      <c r="X385" s="138"/>
      <c r="Y385" s="139"/>
      <c r="Z385" s="128">
        <f>IF(Y344=1,0.0058, IF(Y344=2, 0.0029, IF(Y344=3, 0.0029, IF(Y344=4,0.0029, IF(Y344=5, 0.0029, IF(Y344=6, 0.011, IF(Y344=7, 0.009, IF(Y344=8, 0.009,""))))))))</f>
        <v>5.7999999999999996E-3</v>
      </c>
      <c r="AA385" s="128" t="str">
        <f>IF((K$11=W385),V385,"")</f>
        <v/>
      </c>
      <c r="AB385" s="128" t="str">
        <f t="shared" ref="AB385:AB386" si="166">IFERROR(SMALL(AA$384:AA$386,V385),"")</f>
        <v/>
      </c>
      <c r="AC385" s="128">
        <v>301</v>
      </c>
      <c r="AD385" s="3" t="b">
        <f>IF(AB$384=V385,IF(K$8=W$68,K$13*Z385*45366,IF(K$8=W$69,K$13*Z385*31130)))</f>
        <v>0</v>
      </c>
      <c r="AE385" s="7" t="b">
        <f>IF(AB$384=V385,K$14*Z385*45366)</f>
        <v>0</v>
      </c>
      <c r="AF385" s="3">
        <f>(((AD385-AE385)/1000)*0.000001)*K$7</f>
        <v>0</v>
      </c>
      <c r="AG385" s="126" t="s">
        <v>64</v>
      </c>
      <c r="AH385" s="126"/>
      <c r="AI385" s="126"/>
      <c r="AJ385" s="126">
        <v>2</v>
      </c>
      <c r="AK385" s="137" t="s">
        <v>156</v>
      </c>
      <c r="AL385" s="138"/>
      <c r="AM385" s="139"/>
      <c r="AN385" s="128">
        <f>IF(AM344=1,0.0058, IF(AM344=2, 0.0029, IF(AM344=3, 0.0029, IF(AM344=4,0.0029, IF(AM344=5, 0.0029, IF(AM344=6, 0.011, IF(AM344=7, 0.009, IF(AM344=8, 0.009,""))))))))</f>
        <v>5.7999999999999996E-3</v>
      </c>
      <c r="AO385" s="128" t="str">
        <f t="shared" ref="AO385:AO386" si="167">IF((L$11=AK385),AJ385,"")</f>
        <v/>
      </c>
      <c r="AP385" s="128" t="str">
        <f t="shared" ref="AP385:AP386" si="168">IFERROR(SMALL(AO$384:AO$386,AJ385),"")</f>
        <v/>
      </c>
      <c r="AQ385" s="128">
        <v>301</v>
      </c>
      <c r="AR385" s="3" t="b">
        <f>IF(AP$384=AJ385,IF(L$8=AK$68,L$13*AN385*45366,IF(L$8=AK$69,L$13*AN385*31130)))</f>
        <v>0</v>
      </c>
      <c r="AS385" s="7" t="b">
        <f>IF(AP$384=AJ385,L$14*AN385*45366)</f>
        <v>0</v>
      </c>
      <c r="AT385" s="3">
        <f>(((AR385-AS385)/1000)*0.000001)*L$7</f>
        <v>0</v>
      </c>
      <c r="AU385" s="126" t="s">
        <v>64</v>
      </c>
      <c r="AV385" s="126"/>
      <c r="AX385" s="126">
        <v>2</v>
      </c>
      <c r="AY385" s="137" t="s">
        <v>156</v>
      </c>
      <c r="AZ385" s="138"/>
      <c r="BA385" s="139"/>
      <c r="BB385" s="128">
        <f>IF(BA344=1,0.0058, IF(BA344=2, 0.0029, IF(BA344=3, 0.0029, IF(BA344=4,0.0029, IF(BA344=5, 0.0029, IF(BA344=6, 0.011, IF(BA344=7, 0.009, IF(BA344=8, 0.009,""))))))))</f>
        <v>5.7999999999999996E-3</v>
      </c>
      <c r="BC385" s="128" t="str">
        <f>IF((M$11=AY385),AX385,"")</f>
        <v/>
      </c>
      <c r="BD385" s="128" t="str">
        <f t="shared" ref="BD385:BD386" si="169">IFERROR(SMALL(BC$384:BC$386,AX385),"")</f>
        <v/>
      </c>
      <c r="BE385" s="128">
        <v>301</v>
      </c>
      <c r="BF385" s="3" t="b">
        <f>IF(BD$384=AX385,IF(M$8=AY$68,M$13*BB385*45366,IF(M$8=AY$69,M$13*BB385*31130)))</f>
        <v>0</v>
      </c>
      <c r="BG385" s="7" t="b">
        <f>IF(BD$384=AX385,M$14*BB385*45366)</f>
        <v>0</v>
      </c>
      <c r="BH385" s="3">
        <f>(((BF385-BG385)/1000)*0.000001)*M$7</f>
        <v>0</v>
      </c>
      <c r="BI385" s="126" t="s">
        <v>64</v>
      </c>
      <c r="BL385" s="128" t="e">
        <f>((((#REF!-#REF!)/1000)*45366)*0.000001)*O12</f>
        <v>#REF!</v>
      </c>
      <c r="BM385" s="126" t="s">
        <v>64</v>
      </c>
    </row>
    <row r="386" spans="6:65" s="123" customFormat="1" hidden="1">
      <c r="F386" s="126">
        <v>3</v>
      </c>
      <c r="G386" s="137" t="s">
        <v>157</v>
      </c>
      <c r="H386" s="138"/>
      <c r="I386" s="139"/>
      <c r="J386" s="128">
        <f>IF(I344=1,0.0058, IF(I344=2, 0.0029, IF(I344=3, 0.0029, IF(I344=4, 0.0029, IF(I344=5, 0.0029, IF(I344=6, 0.011, IF(I344=7, 0.009, IF(I344=8, 0.009, ""))))))))</f>
        <v>5.7999999999999996E-3</v>
      </c>
      <c r="K386" s="128" t="str">
        <f>IF((J$11=G386),F386,"")</f>
        <v/>
      </c>
      <c r="L386" s="128" t="str">
        <f>IFERROR(SMALL(K$384:K$386,F386),"")</f>
        <v/>
      </c>
      <c r="M386" s="128">
        <v>247</v>
      </c>
      <c r="N386" s="3" t="b">
        <f>IF(L$384=F386,IF(J$8=G$68,J$13*J386*45366,IF(J$8=G$69,J$13*J386*31130)))</f>
        <v>0</v>
      </c>
      <c r="O386" s="7" t="b">
        <f>IF(L$384=F386,J$14*J386*45366)</f>
        <v>0</v>
      </c>
      <c r="P386" s="3">
        <f>(((N386-O386)/1000)*0.000001)*J$7</f>
        <v>0</v>
      </c>
      <c r="Q386" s="126" t="s">
        <v>64</v>
      </c>
      <c r="R386" s="126"/>
      <c r="S386" s="126"/>
      <c r="T386" s="126"/>
      <c r="V386" s="126">
        <v>3</v>
      </c>
      <c r="W386" s="137" t="s">
        <v>157</v>
      </c>
      <c r="X386" s="138"/>
      <c r="Y386" s="139"/>
      <c r="Z386" s="128">
        <f>IF(Y344=1,0.0058, IF(Y344=2, 0.0029, IF(Y344=3, 0.0029, IF(Y344=4, 0.0029, IF(Y344=5, 0.0029, IF(Y344=6, 0.011, IF(Y344=7, 0.009, IF(Y344=8, 0.009, ""))))))))</f>
        <v>5.7999999999999996E-3</v>
      </c>
      <c r="AA386" s="128" t="str">
        <f>IF((K$11=W386),V386,"")</f>
        <v/>
      </c>
      <c r="AB386" s="128" t="str">
        <f t="shared" si="166"/>
        <v/>
      </c>
      <c r="AC386" s="128">
        <v>247</v>
      </c>
      <c r="AD386" s="3" t="b">
        <f>IF(AB$384=V386,IF(K$8=W$68,K$13*Z386*45366,IF(K$8=W$69,K$13*Z386*31130)))</f>
        <v>0</v>
      </c>
      <c r="AE386" s="7" t="b">
        <f>IF(AB$384=V386,K$14*Z386*45366)</f>
        <v>0</v>
      </c>
      <c r="AF386" s="3">
        <f>(((AD386-AE386)/1000)*0.000001)*K$7</f>
        <v>0</v>
      </c>
      <c r="AG386" s="126" t="s">
        <v>64</v>
      </c>
      <c r="AH386" s="126"/>
      <c r="AI386" s="126"/>
      <c r="AJ386" s="126">
        <v>3</v>
      </c>
      <c r="AK386" s="137" t="s">
        <v>157</v>
      </c>
      <c r="AL386" s="138"/>
      <c r="AM386" s="139"/>
      <c r="AN386" s="128">
        <f>IF(AM344=1,0.0058, IF(AM344=2, 0.0029, IF(AM344=3, 0.0029, IF(AM344=4, 0.0029, IF(AM344=5, 0.0029, IF(AM344=6, 0.011, IF(AM344=7, 0.009, IF(AM344=8, 0.009, ""))))))))</f>
        <v>5.7999999999999996E-3</v>
      </c>
      <c r="AO386" s="128" t="str">
        <f t="shared" si="167"/>
        <v/>
      </c>
      <c r="AP386" s="128" t="str">
        <f t="shared" si="168"/>
        <v/>
      </c>
      <c r="AQ386" s="128">
        <v>247</v>
      </c>
      <c r="AR386" s="3" t="b">
        <f>IF(AP$384=AJ386,IF(L$8=AK$68,L$13*AN386*45366,IF(L$8=AK$69,L$13*AN386*31130)))</f>
        <v>0</v>
      </c>
      <c r="AS386" s="7" t="b">
        <f>IF(AP$384=AJ386,L$14*AN386*45366)</f>
        <v>0</v>
      </c>
      <c r="AT386" s="3">
        <f>(((AR386-AS386)/1000)*0.000001)*L$7</f>
        <v>0</v>
      </c>
      <c r="AU386" s="126" t="s">
        <v>64</v>
      </c>
      <c r="AV386" s="126"/>
      <c r="AX386" s="126">
        <v>3</v>
      </c>
      <c r="AY386" s="137" t="s">
        <v>157</v>
      </c>
      <c r="AZ386" s="138"/>
      <c r="BA386" s="139"/>
      <c r="BB386" s="128">
        <f>IF(BA344=1,0.0058, IF(BA344=2, 0.0029, IF(BA344=3, 0.0029, IF(BA344=4, 0.0029, IF(BA344=5, 0.0029, IF(BA344=6, 0.011, IF(BA344=7, 0.009, IF(BA344=8, 0.009, ""))))))))</f>
        <v>5.7999999999999996E-3</v>
      </c>
      <c r="BC386" s="128" t="str">
        <f>IF((M$11=AY386),AX386,"")</f>
        <v/>
      </c>
      <c r="BD386" s="128" t="str">
        <f t="shared" si="169"/>
        <v/>
      </c>
      <c r="BE386" s="128">
        <v>247</v>
      </c>
      <c r="BF386" s="3" t="b">
        <f>IF(BD$384=AX386,IF(M$8=AY$68,M$13*BB386*45366,IF(M$8=AY$69,M$13*BB386*31130)))</f>
        <v>0</v>
      </c>
      <c r="BG386" s="7" t="b">
        <f>IF(BD$384=AX386,M$14*BB386*45366)</f>
        <v>0</v>
      </c>
      <c r="BH386" s="3">
        <f>(((BF386-BG386)/1000)*0.000001)*M$7</f>
        <v>0</v>
      </c>
      <c r="BI386" s="126" t="s">
        <v>64</v>
      </c>
      <c r="BL386" s="128" t="e">
        <f>((((#REF!-#REF!)/1000)*45366)*0.000001)*O12</f>
        <v>#REF!</v>
      </c>
      <c r="BM386" s="126" t="s">
        <v>64</v>
      </c>
    </row>
    <row r="387" spans="6:65" hidden="1">
      <c r="F387" s="2"/>
      <c r="G387" s="2"/>
      <c r="H387" s="2"/>
      <c r="I387" s="2"/>
      <c r="J387" s="2"/>
      <c r="K387" s="2"/>
      <c r="L387" s="2"/>
      <c r="M387" s="2"/>
      <c r="N387" s="2"/>
      <c r="O387" s="2"/>
      <c r="P387" s="2"/>
      <c r="Q387" s="2"/>
      <c r="R387" s="2"/>
      <c r="S387" s="2"/>
      <c r="T387" s="2"/>
      <c r="V387" s="2"/>
      <c r="W387" s="2"/>
      <c r="X387" s="2"/>
      <c r="Y387" s="2"/>
      <c r="Z387" s="2"/>
      <c r="AA387" s="2"/>
      <c r="AB387" s="2"/>
      <c r="AC387" s="2"/>
      <c r="AD387" s="2"/>
      <c r="AE387" s="2"/>
      <c r="AF387" s="2"/>
      <c r="AG387" s="2"/>
      <c r="AH387" s="2"/>
      <c r="AI387" s="2"/>
      <c r="AJ387" s="2"/>
      <c r="AK387" s="2"/>
      <c r="AL387" s="2"/>
      <c r="AM387" s="2"/>
      <c r="AN387" s="2"/>
      <c r="AO387" s="2"/>
      <c r="AP387" s="2"/>
      <c r="AQ387" s="2"/>
      <c r="AR387" s="2"/>
      <c r="AS387" s="2"/>
      <c r="AT387" s="2"/>
      <c r="AU387" s="2"/>
      <c r="AV387" s="2"/>
      <c r="AX387" s="2"/>
      <c r="AY387" s="2"/>
      <c r="AZ387" s="2"/>
      <c r="BA387" s="2"/>
      <c r="BB387" s="2"/>
      <c r="BC387" s="2"/>
      <c r="BD387" s="2"/>
      <c r="BE387" s="2"/>
      <c r="BF387" s="2"/>
      <c r="BG387" s="2"/>
      <c r="BH387" s="2"/>
      <c r="BI387" s="2"/>
      <c r="BL387" s="2"/>
      <c r="BM387" s="2"/>
    </row>
    <row r="388" spans="6:65" hidden="1">
      <c r="F388" s="2"/>
      <c r="G388" s="2"/>
      <c r="H388" s="2"/>
      <c r="I388" s="2"/>
      <c r="J388" s="2"/>
      <c r="K388" s="2"/>
      <c r="L388" s="2"/>
      <c r="M388" s="2"/>
      <c r="N388" s="2"/>
      <c r="O388" s="2"/>
      <c r="P388" s="2"/>
      <c r="Q388" s="2"/>
      <c r="R388" s="2"/>
      <c r="S388" s="2"/>
      <c r="T388" s="2"/>
      <c r="V388" s="2"/>
      <c r="W388" s="2"/>
      <c r="X388" s="2"/>
      <c r="Y388" s="2"/>
      <c r="Z388" s="2"/>
      <c r="AA388" s="2"/>
      <c r="AB388" s="2"/>
      <c r="AC388" s="2"/>
      <c r="AD388" s="2"/>
      <c r="AE388" s="2"/>
      <c r="AF388" s="2"/>
      <c r="AG388" s="2"/>
      <c r="AH388" s="2"/>
      <c r="AI388" s="2"/>
      <c r="AJ388" s="2"/>
      <c r="AK388" s="2"/>
      <c r="AL388" s="2"/>
      <c r="AM388" s="2"/>
      <c r="AN388" s="2"/>
      <c r="AO388" s="2"/>
      <c r="AP388" s="2"/>
      <c r="AQ388" s="2"/>
      <c r="AR388" s="2"/>
      <c r="AS388" s="2"/>
      <c r="AT388" s="2"/>
      <c r="AU388" s="2"/>
      <c r="AV388" s="2"/>
      <c r="AX388" s="2"/>
      <c r="AY388" s="2"/>
      <c r="AZ388" s="2"/>
      <c r="BA388" s="2"/>
      <c r="BB388" s="2"/>
      <c r="BC388" s="2"/>
      <c r="BD388" s="2"/>
      <c r="BE388" s="2"/>
      <c r="BF388" s="2"/>
      <c r="BG388" s="2"/>
      <c r="BH388" s="2"/>
      <c r="BI388" s="2"/>
      <c r="BL388" s="2"/>
      <c r="BM388" s="2"/>
    </row>
    <row r="389" spans="6:65" hidden="1">
      <c r="F389" s="2"/>
      <c r="G389" s="2"/>
      <c r="H389" s="2"/>
      <c r="I389" s="2"/>
      <c r="J389" s="12" t="s">
        <v>71</v>
      </c>
      <c r="K389" s="2" t="s">
        <v>58</v>
      </c>
      <c r="L389" s="2" t="s">
        <v>58</v>
      </c>
      <c r="M389" s="12" t="s">
        <v>59</v>
      </c>
      <c r="N389" s="2" t="s">
        <v>60</v>
      </c>
      <c r="O389" s="2" t="s">
        <v>61</v>
      </c>
      <c r="P389" s="2" t="s">
        <v>62</v>
      </c>
      <c r="Q389" s="2"/>
      <c r="R389" s="2"/>
      <c r="S389" s="2"/>
      <c r="T389" s="2"/>
      <c r="V389" s="2"/>
      <c r="W389" s="2"/>
      <c r="X389" s="2"/>
      <c r="Y389" s="2"/>
      <c r="Z389" s="12" t="s">
        <v>71</v>
      </c>
      <c r="AA389" s="2" t="s">
        <v>58</v>
      </c>
      <c r="AB389" s="2" t="s">
        <v>58</v>
      </c>
      <c r="AC389" s="12" t="s">
        <v>59</v>
      </c>
      <c r="AD389" s="2" t="s">
        <v>60</v>
      </c>
      <c r="AE389" s="2" t="s">
        <v>61</v>
      </c>
      <c r="AF389" s="2" t="s">
        <v>62</v>
      </c>
      <c r="AG389" s="2"/>
      <c r="AH389" s="2"/>
      <c r="AI389" s="2"/>
      <c r="AJ389" s="2"/>
      <c r="AK389" s="2"/>
      <c r="AL389" s="2"/>
      <c r="AM389" s="2"/>
      <c r="AN389" s="12" t="s">
        <v>71</v>
      </c>
      <c r="AO389" s="2" t="s">
        <v>58</v>
      </c>
      <c r="AP389" s="2" t="s">
        <v>58</v>
      </c>
      <c r="AQ389" s="12" t="s">
        <v>59</v>
      </c>
      <c r="AR389" s="2" t="s">
        <v>60</v>
      </c>
      <c r="AS389" s="2" t="s">
        <v>61</v>
      </c>
      <c r="AT389" s="2" t="s">
        <v>62</v>
      </c>
      <c r="AU389" s="2"/>
      <c r="AV389" s="2"/>
      <c r="AX389" s="2"/>
      <c r="AY389" s="2"/>
      <c r="AZ389" s="2"/>
      <c r="BA389" s="2"/>
      <c r="BB389" s="12" t="s">
        <v>71</v>
      </c>
      <c r="BC389" s="2" t="s">
        <v>58</v>
      </c>
      <c r="BD389" s="2" t="s">
        <v>58</v>
      </c>
      <c r="BE389" s="12" t="s">
        <v>59</v>
      </c>
      <c r="BF389" s="2" t="s">
        <v>60</v>
      </c>
      <c r="BG389" s="2" t="s">
        <v>61</v>
      </c>
      <c r="BH389" s="2" t="s">
        <v>62</v>
      </c>
      <c r="BI389" s="2"/>
      <c r="BL389" s="2" t="s">
        <v>62</v>
      </c>
      <c r="BM389" s="2"/>
    </row>
    <row r="390" spans="6:65" hidden="1">
      <c r="F390" s="11">
        <v>1</v>
      </c>
      <c r="G390" s="10" t="s">
        <v>89</v>
      </c>
      <c r="H390" s="9"/>
      <c r="I390" s="8"/>
      <c r="J390" s="7">
        <v>1.125E-2</v>
      </c>
      <c r="K390" s="7" t="str">
        <f>IF((J$9=G390),F390,"")</f>
        <v/>
      </c>
      <c r="L390" s="7" t="str">
        <f>IFERROR(SMALL(K$390:K$392,F390),"")</f>
        <v/>
      </c>
      <c r="M390" s="7">
        <v>495</v>
      </c>
      <c r="N390" s="7" t="b">
        <f>IF(L$390=F390,J$13*(M390*J390))</f>
        <v>0</v>
      </c>
      <c r="O390" s="7" t="b">
        <f>IF(L$390=F390,J$14*(M390*J390))</f>
        <v>0</v>
      </c>
      <c r="P390" s="7">
        <f>N390-O390</f>
        <v>0</v>
      </c>
      <c r="Q390" s="2"/>
      <c r="R390" s="2"/>
      <c r="S390" s="2"/>
      <c r="T390" s="2"/>
      <c r="V390" s="11">
        <v>1</v>
      </c>
      <c r="W390" s="10" t="s">
        <v>89</v>
      </c>
      <c r="X390" s="9"/>
      <c r="Y390" s="8"/>
      <c r="Z390" s="7">
        <v>1.125E-2</v>
      </c>
      <c r="AA390" s="7" t="str">
        <f>IF((K$9=W390),V390,"")</f>
        <v/>
      </c>
      <c r="AB390" s="7" t="str">
        <f>IFERROR(SMALL(AA$390:AA$392,V390),"")</f>
        <v/>
      </c>
      <c r="AC390" s="7">
        <v>495</v>
      </c>
      <c r="AD390" s="7" t="b">
        <f>IF(AB$390=V390,K$13*(AC390*Z390))</f>
        <v>0</v>
      </c>
      <c r="AE390" s="7" t="b">
        <f>IF(AB$390=V390,K$14*(AC390*Z390))</f>
        <v>0</v>
      </c>
      <c r="AF390" s="7">
        <f>AD390-AE390</f>
        <v>0</v>
      </c>
      <c r="AG390" s="2"/>
      <c r="AH390" s="2"/>
      <c r="AI390" s="2"/>
      <c r="AJ390" s="11">
        <v>1</v>
      </c>
      <c r="AK390" s="10" t="s">
        <v>89</v>
      </c>
      <c r="AL390" s="9"/>
      <c r="AM390" s="8"/>
      <c r="AN390" s="7">
        <v>1.125E-2</v>
      </c>
      <c r="AO390" s="7" t="str">
        <f>IF((L$9=AK390),AJ390,"")</f>
        <v/>
      </c>
      <c r="AP390" s="7" t="str">
        <f>IFERROR(SMALL(AO$390:AO$392,AJ390),"")</f>
        <v/>
      </c>
      <c r="AQ390" s="7">
        <v>495</v>
      </c>
      <c r="AR390" s="7" t="b">
        <f>IF(AP$390=AJ390,L$13*(AQ390*AN390))</f>
        <v>0</v>
      </c>
      <c r="AS390" s="7" t="b">
        <f>IF(AP$390=AJ390,L$14*(AQ390*AN390))</f>
        <v>0</v>
      </c>
      <c r="AT390" s="7">
        <f>AR390-AS390</f>
        <v>0</v>
      </c>
      <c r="AU390" s="2"/>
      <c r="AV390" s="2"/>
      <c r="AX390" s="11">
        <v>1</v>
      </c>
      <c r="AY390" s="10" t="s">
        <v>89</v>
      </c>
      <c r="AZ390" s="9"/>
      <c r="BA390" s="8"/>
      <c r="BB390" s="7">
        <v>1.125E-2</v>
      </c>
      <c r="BC390" s="7" t="str">
        <f>IF((M$9=AY390),AX390,"")</f>
        <v/>
      </c>
      <c r="BD390" s="7" t="str">
        <f>IFERROR(SMALL(BC$390:BC$392,AX390),"")</f>
        <v/>
      </c>
      <c r="BE390" s="7">
        <v>495</v>
      </c>
      <c r="BF390" s="7" t="b">
        <f>IF(BD$390=AX390,M$13*(BE390*BB390))</f>
        <v>0</v>
      </c>
      <c r="BG390" s="7" t="b">
        <f>IF(BD$390=AX390,M$14*(BE390*BB390))</f>
        <v>0</v>
      </c>
      <c r="BH390" s="7">
        <f>BF390-BG390</f>
        <v>0</v>
      </c>
      <c r="BI390" s="2"/>
      <c r="BL390" s="7" t="e">
        <f>#REF!-#REF!</f>
        <v>#REF!</v>
      </c>
      <c r="BM390" s="2"/>
    </row>
    <row r="391" spans="6:65" hidden="1">
      <c r="F391" s="2">
        <v>2</v>
      </c>
      <c r="G391" s="6" t="s">
        <v>156</v>
      </c>
      <c r="H391" s="5"/>
      <c r="I391" s="4"/>
      <c r="J391" s="3" t="str">
        <f>IF(I334=1,0.14624, IF(I334=2, 0.479, IF(I334=3, 0.22, IF(I334=4, 0.207, IF(I334=5, 0.0462, IF(I334=6, 0.0462, IF(I334=7, 0.0023, IF(I334=8, 0.0023,""))))))))</f>
        <v/>
      </c>
      <c r="K391" s="3" t="str">
        <f>IF((J$9=G391),F391,"")</f>
        <v/>
      </c>
      <c r="L391" s="3" t="str">
        <f>IFERROR(SMALL(K$390:K$392,F391),"")</f>
        <v/>
      </c>
      <c r="M391" s="3">
        <v>301</v>
      </c>
      <c r="N391" s="3" t="b">
        <f>IF(L$390=F391,IF(J$8=G$68,J$13*J391*45366,IF(J$8=G$69,J$13*J391*31130)))</f>
        <v>0</v>
      </c>
      <c r="O391" s="7" t="b">
        <f>IF(L$390=F391,J$14*J391*45366)</f>
        <v>0</v>
      </c>
      <c r="P391" s="3">
        <f>(((N391-O391)/1000)*0.000001)*J$7</f>
        <v>0</v>
      </c>
      <c r="Q391" s="2" t="s">
        <v>64</v>
      </c>
      <c r="R391" s="2"/>
      <c r="S391" s="2"/>
      <c r="T391" s="2"/>
      <c r="V391" s="2">
        <v>2</v>
      </c>
      <c r="W391" s="6" t="s">
        <v>156</v>
      </c>
      <c r="X391" s="5"/>
      <c r="Y391" s="4"/>
      <c r="Z391" s="3" t="str">
        <f>IF(Y334=1,0.14624, IF(Y334=2, 0.479, IF(Y334=3, 0.22, IF(Y334=4, 0.207, IF(Y334=5, 0.0462, IF(Y334=6, 0.0462, IF(Y334=7, 0.0023, IF(Y334=8, 0.0023,""))))))))</f>
        <v/>
      </c>
      <c r="AA391" s="3" t="str">
        <f>IF((K$9=W391),V391,"")</f>
        <v/>
      </c>
      <c r="AB391" s="3" t="str">
        <f>IFERROR(SMALL(AA$390:AA$392,V391),"")</f>
        <v/>
      </c>
      <c r="AC391" s="3">
        <v>301</v>
      </c>
      <c r="AD391" s="3" t="b">
        <f>IF(AB$390=V391,IF(K$8=W$68,K$13*Z391*45366,IF(K$8=W$69,K$13*Z391*31130)))</f>
        <v>0</v>
      </c>
      <c r="AE391" s="7" t="b">
        <f>IF(AB$390=V391,K$14*Z391*45366)</f>
        <v>0</v>
      </c>
      <c r="AF391" s="3">
        <f>(((AD391-AE391)/1000)*0.000001)*K$7</f>
        <v>0</v>
      </c>
      <c r="AG391" s="2" t="s">
        <v>64</v>
      </c>
      <c r="AH391" s="2"/>
      <c r="AI391" s="2"/>
      <c r="AJ391" s="2">
        <v>2</v>
      </c>
      <c r="AK391" s="6" t="s">
        <v>156</v>
      </c>
      <c r="AL391" s="5"/>
      <c r="AM391" s="4"/>
      <c r="AN391" s="3" t="str">
        <f>IF(AM334=1,0.14624, IF(AM334=2, 0.479, IF(AM334=3, 0.22, IF(AM334=4, 0.207, IF(AM334=5, 0.0462, IF(AM334=6, 0.0462, IF(AM334=7, 0.0023, IF(AM334=8, 0.0023,""))))))))</f>
        <v/>
      </c>
      <c r="AO391" s="3" t="str">
        <f>IF((L$9=AK391),AJ391,"")</f>
        <v/>
      </c>
      <c r="AP391" s="3" t="str">
        <f>IFERROR(SMALL(AO$390:AO$392,AJ391),"")</f>
        <v/>
      </c>
      <c r="AQ391" s="3">
        <v>301</v>
      </c>
      <c r="AR391" s="3" t="b">
        <f>IF(AP$390=AJ391,IF(L$8=AK$68,L$13*AN391*45366,IF(L$8=AK$69,L$13*AN391*31130)))</f>
        <v>0</v>
      </c>
      <c r="AS391" s="7" t="b">
        <f>IF(AP$390=AJ391,L$14*AN391*45366)</f>
        <v>0</v>
      </c>
      <c r="AT391" s="3">
        <f>(((AR391-AS391)/1000)*0.000001)*L$7</f>
        <v>0</v>
      </c>
      <c r="AU391" s="2" t="s">
        <v>64</v>
      </c>
      <c r="AV391" s="2"/>
      <c r="AX391" s="2">
        <v>2</v>
      </c>
      <c r="AY391" s="6" t="s">
        <v>156</v>
      </c>
      <c r="AZ391" s="5"/>
      <c r="BA391" s="4"/>
      <c r="BB391" s="3" t="str">
        <f>IF(BA334=1,0.14624, IF(BA334=2, 0.479, IF(BA334=3, 0.22, IF(BA334=4, 0.207, IF(BA334=5, 0.0462, IF(BA334=6, 0.0462, IF(BA334=7, 0.0023, IF(BA334=8, 0.0023,""))))))))</f>
        <v/>
      </c>
      <c r="BC391" s="3" t="str">
        <f>IF((M$9=AY391),AX391,"")</f>
        <v/>
      </c>
      <c r="BD391" s="3" t="str">
        <f>IFERROR(SMALL(BC$390:BC$392,AX391),"")</f>
        <v/>
      </c>
      <c r="BE391" s="3">
        <v>301</v>
      </c>
      <c r="BF391" s="3" t="b">
        <f>IF(BD$390=AX391,IF(M$8=AY$68,M$13*BB391*45366,IF(M$8=AY$69,M$13*BB391*31130)))</f>
        <v>0</v>
      </c>
      <c r="BG391" s="7" t="b">
        <f>IF(BD$390=AX391,M$14*BB391*45366)</f>
        <v>0</v>
      </c>
      <c r="BH391" s="3">
        <f>(((BF391-BG391)/1000)*0.000001)*M$7</f>
        <v>0</v>
      </c>
      <c r="BI391" s="2" t="s">
        <v>64</v>
      </c>
      <c r="BL391" s="3" t="e">
        <f>((((#REF!-#REF!)/1000)*45366)*0.000001)*O7</f>
        <v>#REF!</v>
      </c>
      <c r="BM391" s="2" t="s">
        <v>64</v>
      </c>
    </row>
    <row r="392" spans="6:65" hidden="1">
      <c r="F392" s="2">
        <v>3</v>
      </c>
      <c r="G392" s="6" t="s">
        <v>157</v>
      </c>
      <c r="H392" s="5"/>
      <c r="I392" s="4"/>
      <c r="J392" s="3" t="str">
        <f>IF(I334=1,0.1297, IF(I334=2, 0.362, IF(I334=3, 0.165, IF(I334=4, 0.178, IF(I334=5, 0.0354, IF(I334=6, 0.0354, IF(I334=7,"", IF(I334=8, 0.0018,""))))))))</f>
        <v/>
      </c>
      <c r="K392" s="3" t="str">
        <f>IF((J$9=G392),F392,"")</f>
        <v/>
      </c>
      <c r="L392" s="3" t="str">
        <f>IFERROR(SMALL(K$390:K$392,F392),"")</f>
        <v/>
      </c>
      <c r="M392" s="3">
        <v>247</v>
      </c>
      <c r="N392" s="3" t="b">
        <f>IF(L$390=F392,IF(J$8=G$68,J$13*J392*45366,IF(J$8=G$69,J$13*J392*31130)))</f>
        <v>0</v>
      </c>
      <c r="O392" s="7" t="b">
        <f>IF(L$390=F392,J$14*J392*45366)</f>
        <v>0</v>
      </c>
      <c r="P392" s="3">
        <f>(((N392-O392)/1000)*0.000001)*J$7</f>
        <v>0</v>
      </c>
      <c r="Q392" s="2" t="s">
        <v>64</v>
      </c>
      <c r="R392" s="2"/>
      <c r="S392" s="2"/>
      <c r="T392" s="2"/>
      <c r="V392" s="2">
        <v>3</v>
      </c>
      <c r="W392" s="6" t="s">
        <v>157</v>
      </c>
      <c r="X392" s="5"/>
      <c r="Y392" s="4"/>
      <c r="Z392" s="3" t="str">
        <f>IF(Y334=1,0.1297, IF(Y334=2, 0.362, IF(Y334=3, 0.165, IF(Y334=4, 0.178, IF(Y334=5, 0.0354, IF(Y334=6, 0.0354, IF(Y334=7,"", IF(Y334=8, 0.0018,""))))))))</f>
        <v/>
      </c>
      <c r="AA392" s="3" t="str">
        <f>IF((K$9=W392),V392,"")</f>
        <v/>
      </c>
      <c r="AB392" s="3" t="str">
        <f>IFERROR(SMALL(AA$390:AA$392,V392),"")</f>
        <v/>
      </c>
      <c r="AC392" s="3">
        <v>247</v>
      </c>
      <c r="AD392" s="3" t="b">
        <f>IF(AB$390=V392,IF(K$8=W$68,K$13*Z392*45366,IF(K$8=W$69,K$13*Z392*31130)))</f>
        <v>0</v>
      </c>
      <c r="AE392" s="7" t="b">
        <f>IF(AB$390=V392,K$14*Z392*45366)</f>
        <v>0</v>
      </c>
      <c r="AF392" s="3">
        <f>(((AD392-AE392)/1000)*0.000001)*K$7</f>
        <v>0</v>
      </c>
      <c r="AG392" s="2" t="s">
        <v>64</v>
      </c>
      <c r="AH392" s="2"/>
      <c r="AI392" s="2"/>
      <c r="AJ392" s="2">
        <v>3</v>
      </c>
      <c r="AK392" s="6" t="s">
        <v>157</v>
      </c>
      <c r="AL392" s="5"/>
      <c r="AM392" s="4"/>
      <c r="AN392" s="3" t="str">
        <f>IF(AM334=1,0.1297, IF(AM334=2, 0.362, IF(AM334=3, 0.165, IF(AM334=4, 0.178, IF(AM334=5, 0.0354, IF(AM334=6, 0.0354, IF(AM334=7,"", IF(AM334=8, 0.0018,""))))))))</f>
        <v/>
      </c>
      <c r="AO392" s="3" t="str">
        <f>IF((L$9=AK392),AJ392,"")</f>
        <v/>
      </c>
      <c r="AP392" s="3" t="str">
        <f>IFERROR(SMALL(AO$390:AO$392,AJ392),"")</f>
        <v/>
      </c>
      <c r="AQ392" s="3">
        <v>247</v>
      </c>
      <c r="AR392" s="3" t="b">
        <f>IF(AP$390=AJ392,IF(L$8=AK$68,L$13*AN392*45366,IF(L$8=AK$69,L$13*AN392*31130)))</f>
        <v>0</v>
      </c>
      <c r="AS392" s="7" t="b">
        <f>IF(AP$390=AJ392,L$14*AN392*45366)</f>
        <v>0</v>
      </c>
      <c r="AT392" s="3">
        <f>(((AR392-AS392)/1000)*0.000001)*L$7</f>
        <v>0</v>
      </c>
      <c r="AU392" s="2" t="s">
        <v>64</v>
      </c>
      <c r="AV392" s="2"/>
      <c r="AX392" s="2">
        <v>3</v>
      </c>
      <c r="AY392" s="6" t="s">
        <v>157</v>
      </c>
      <c r="AZ392" s="5"/>
      <c r="BA392" s="4"/>
      <c r="BB392" s="3" t="str">
        <f>IF(BA334=1,0.1297, IF(BA334=2, 0.362, IF(BA334=3, 0.165, IF(BA334=4, 0.178, IF(BA334=5, 0.0354, IF(BA334=6, 0.0354, IF(BA334=7,"", IF(BA334=8, 0.0018,""))))))))</f>
        <v/>
      </c>
      <c r="BC392" s="3" t="str">
        <f>IF((M$9=AY392),AX392,"")</f>
        <v/>
      </c>
      <c r="BD392" s="3" t="str">
        <f>IFERROR(SMALL(BC$390:BC$392,AX392),"")</f>
        <v/>
      </c>
      <c r="BE392" s="3">
        <v>247</v>
      </c>
      <c r="BF392" s="3" t="b">
        <f>IF(BD$390=AX392,IF(M$8=AY$68,M$13*BB392*45366,IF(M$8=AY$69,M$13*BB392*31130)))</f>
        <v>0</v>
      </c>
      <c r="BG392" s="7" t="b">
        <f>IF(BD$390=AX392,M$14*BB392*45366)</f>
        <v>0</v>
      </c>
      <c r="BH392" s="3">
        <f>(((BF392-BG392)/1000)*0.000001)*M$7</f>
        <v>0</v>
      </c>
      <c r="BI392" s="2" t="s">
        <v>64</v>
      </c>
      <c r="BL392" s="3" t="e">
        <f>((((#REF!-#REF!)/1000)*45366)*0.000001)*O7</f>
        <v>#REF!</v>
      </c>
      <c r="BM392" s="2" t="s">
        <v>64</v>
      </c>
    </row>
    <row r="393" spans="6:65" hidden="1">
      <c r="F393" s="2"/>
      <c r="G393" s="2"/>
      <c r="H393" s="2"/>
      <c r="I393" s="2"/>
      <c r="J393" s="2"/>
      <c r="K393" s="2"/>
      <c r="L393" s="2"/>
      <c r="M393" s="2"/>
      <c r="N393" s="2"/>
      <c r="O393" s="2"/>
      <c r="P393" s="2"/>
      <c r="Q393" s="2"/>
      <c r="R393" s="2"/>
      <c r="S393" s="2"/>
      <c r="T393" s="2"/>
      <c r="V393" s="2"/>
      <c r="W393" s="2"/>
      <c r="X393" s="2"/>
      <c r="Y393" s="2"/>
      <c r="Z393" s="2"/>
      <c r="AA393" s="2"/>
      <c r="AB393" s="2"/>
      <c r="AC393" s="2"/>
      <c r="AD393" s="2"/>
      <c r="AE393" s="2"/>
      <c r="AF393" s="2"/>
      <c r="AG393" s="2"/>
      <c r="AH393" s="2"/>
      <c r="AI393" s="2"/>
      <c r="AJ393" s="2"/>
      <c r="AK393" s="2"/>
      <c r="AL393" s="2"/>
      <c r="AM393" s="2"/>
      <c r="AN393" s="2"/>
      <c r="AO393" s="2"/>
      <c r="AP393" s="2"/>
      <c r="AQ393" s="2"/>
      <c r="AR393" s="2"/>
      <c r="AS393" s="2"/>
      <c r="AT393" s="2"/>
      <c r="AU393" s="2"/>
      <c r="AV393" s="2"/>
      <c r="AX393" s="2"/>
      <c r="AY393" s="2"/>
      <c r="AZ393" s="2"/>
      <c r="BA393" s="2"/>
      <c r="BB393" s="2"/>
      <c r="BC393" s="2"/>
      <c r="BD393" s="2"/>
      <c r="BE393" s="2"/>
      <c r="BF393" s="2"/>
      <c r="BG393" s="2"/>
      <c r="BH393" s="2"/>
      <c r="BI393" s="2"/>
      <c r="BL393" s="2"/>
      <c r="BM393" s="2"/>
    </row>
    <row r="394" spans="6:65" hidden="1">
      <c r="F394" s="2"/>
      <c r="G394" s="2"/>
      <c r="H394" s="2"/>
      <c r="I394" s="2"/>
      <c r="J394" s="2"/>
      <c r="K394" s="2"/>
      <c r="L394" s="2"/>
      <c r="M394" s="2"/>
      <c r="N394" s="2"/>
      <c r="O394" s="2"/>
      <c r="P394" s="2"/>
      <c r="Q394" s="2"/>
      <c r="R394" s="2"/>
      <c r="S394" s="2"/>
      <c r="T394" s="2"/>
      <c r="V394" s="2"/>
      <c r="W394" s="2"/>
      <c r="X394" s="2"/>
      <c r="Y394" s="2"/>
      <c r="Z394" s="2"/>
      <c r="AA394" s="2"/>
      <c r="AB394" s="2"/>
      <c r="AC394" s="2"/>
      <c r="AD394" s="2"/>
      <c r="AE394" s="2"/>
      <c r="AF394" s="2"/>
      <c r="AG394" s="2"/>
      <c r="AH394" s="2"/>
      <c r="AI394" s="2"/>
      <c r="AJ394" s="2"/>
      <c r="AK394" s="2"/>
      <c r="AL394" s="2"/>
      <c r="AM394" s="2"/>
      <c r="AN394" s="2"/>
      <c r="AO394" s="2"/>
      <c r="AP394" s="2"/>
      <c r="AQ394" s="2"/>
      <c r="AR394" s="2"/>
      <c r="AS394" s="2"/>
      <c r="AT394" s="2"/>
      <c r="AU394" s="2"/>
      <c r="AV394" s="2"/>
      <c r="AX394" s="2"/>
      <c r="AY394" s="2"/>
      <c r="AZ394" s="2"/>
      <c r="BA394" s="2"/>
      <c r="BB394" s="2"/>
      <c r="BC394" s="2"/>
      <c r="BD394" s="2"/>
      <c r="BE394" s="2"/>
      <c r="BF394" s="2"/>
      <c r="BG394" s="2"/>
      <c r="BH394" s="2"/>
      <c r="BI394" s="2"/>
      <c r="BL394" s="2"/>
      <c r="BM394" s="2"/>
    </row>
    <row r="395" spans="6:65" s="123" customFormat="1" hidden="1">
      <c r="F395" s="126"/>
      <c r="G395" s="126"/>
      <c r="H395" s="126"/>
      <c r="I395" s="126"/>
      <c r="J395" s="127" t="s">
        <v>71</v>
      </c>
      <c r="K395" s="126" t="s">
        <v>58</v>
      </c>
      <c r="L395" s="126" t="s">
        <v>58</v>
      </c>
      <c r="M395" s="127" t="s">
        <v>59</v>
      </c>
      <c r="N395" s="126" t="s">
        <v>60</v>
      </c>
      <c r="O395" s="126" t="s">
        <v>61</v>
      </c>
      <c r="P395" s="126" t="s">
        <v>62</v>
      </c>
      <c r="Q395" s="126"/>
      <c r="R395" s="126"/>
      <c r="S395" s="126"/>
      <c r="T395" s="126"/>
      <c r="V395" s="126"/>
      <c r="W395" s="126"/>
      <c r="X395" s="126"/>
      <c r="Y395" s="126"/>
      <c r="Z395" s="127" t="s">
        <v>71</v>
      </c>
      <c r="AA395" s="126" t="s">
        <v>58</v>
      </c>
      <c r="AB395" s="126" t="s">
        <v>58</v>
      </c>
      <c r="AC395" s="127" t="s">
        <v>59</v>
      </c>
      <c r="AD395" s="126" t="s">
        <v>60</v>
      </c>
      <c r="AE395" s="126" t="s">
        <v>61</v>
      </c>
      <c r="AF395" s="126" t="s">
        <v>62</v>
      </c>
      <c r="AG395" s="126"/>
      <c r="AH395" s="126"/>
      <c r="AI395" s="126"/>
      <c r="AJ395" s="126"/>
      <c r="AK395" s="126"/>
      <c r="AL395" s="126"/>
      <c r="AM395" s="126"/>
      <c r="AN395" s="127" t="s">
        <v>71</v>
      </c>
      <c r="AO395" s="126" t="s">
        <v>58</v>
      </c>
      <c r="AP395" s="126" t="s">
        <v>58</v>
      </c>
      <c r="AQ395" s="127" t="s">
        <v>59</v>
      </c>
      <c r="AR395" s="126" t="s">
        <v>60</v>
      </c>
      <c r="AS395" s="126" t="s">
        <v>61</v>
      </c>
      <c r="AT395" s="126" t="s">
        <v>62</v>
      </c>
      <c r="AU395" s="126"/>
      <c r="AV395" s="126"/>
      <c r="AX395" s="126"/>
      <c r="AY395" s="126"/>
      <c r="AZ395" s="126"/>
      <c r="BA395" s="126"/>
      <c r="BB395" s="127" t="s">
        <v>71</v>
      </c>
      <c r="BC395" s="126" t="s">
        <v>58</v>
      </c>
      <c r="BD395" s="126" t="s">
        <v>58</v>
      </c>
      <c r="BE395" s="127" t="s">
        <v>59</v>
      </c>
      <c r="BF395" s="126" t="s">
        <v>60</v>
      </c>
      <c r="BG395" s="126" t="s">
        <v>61</v>
      </c>
      <c r="BH395" s="126" t="s">
        <v>62</v>
      </c>
      <c r="BI395" s="126"/>
      <c r="BL395" s="126" t="s">
        <v>62</v>
      </c>
      <c r="BM395" s="126"/>
    </row>
    <row r="396" spans="6:65" s="123" customFormat="1" hidden="1">
      <c r="F396" s="126">
        <v>1</v>
      </c>
      <c r="G396" s="137" t="s">
        <v>89</v>
      </c>
      <c r="H396" s="138"/>
      <c r="I396" s="139"/>
      <c r="J396" s="128">
        <v>1.125E-2</v>
      </c>
      <c r="K396" s="128" t="str">
        <f>IF((J$11=G396),F396,"")</f>
        <v/>
      </c>
      <c r="L396" s="128" t="str">
        <f>IFERROR(SMALL(K$396:K$398,F396),"")</f>
        <v/>
      </c>
      <c r="M396" s="128">
        <v>495</v>
      </c>
      <c r="N396" s="7" t="b">
        <f>IF(L$396=F396,J$13*(M396*J396))</f>
        <v>0</v>
      </c>
      <c r="O396" s="7" t="b">
        <f>IF(L$396=F396,J$14*(M396*J396))</f>
        <v>0</v>
      </c>
      <c r="P396" s="7">
        <f>N396-O396</f>
        <v>0</v>
      </c>
      <c r="Q396" s="126"/>
      <c r="R396" s="126"/>
      <c r="S396" s="126"/>
      <c r="T396" s="126"/>
      <c r="V396" s="126">
        <v>1</v>
      </c>
      <c r="W396" s="137" t="s">
        <v>89</v>
      </c>
      <c r="X396" s="138"/>
      <c r="Y396" s="139"/>
      <c r="Z396" s="128">
        <v>1.125E-2</v>
      </c>
      <c r="AA396" s="128" t="str">
        <f>IF((K$11=W396),V396,"")</f>
        <v/>
      </c>
      <c r="AB396" s="128" t="str">
        <f>IFERROR(SMALL(AA$396:AA$398,V396),"")</f>
        <v/>
      </c>
      <c r="AC396" s="128">
        <v>495</v>
      </c>
      <c r="AD396" s="7" t="b">
        <f>IF(AB$396=V396,K$13*(AC396*Z396))</f>
        <v>0</v>
      </c>
      <c r="AE396" s="7" t="b">
        <f>IF(AB$396=V396,K$14*(AC396*Z396))</f>
        <v>0</v>
      </c>
      <c r="AF396" s="7">
        <f>AD396-AE396</f>
        <v>0</v>
      </c>
      <c r="AG396" s="126"/>
      <c r="AH396" s="126"/>
      <c r="AI396" s="126"/>
      <c r="AJ396" s="126">
        <v>1</v>
      </c>
      <c r="AK396" s="137" t="s">
        <v>89</v>
      </c>
      <c r="AL396" s="138"/>
      <c r="AM396" s="139"/>
      <c r="AN396" s="128">
        <v>1.125E-2</v>
      </c>
      <c r="AO396" s="128" t="str">
        <f>IF((L$11=AK396),AJ396,"")</f>
        <v/>
      </c>
      <c r="AP396" s="128" t="str">
        <f>IFERROR(SMALL(AO$396:AO$398,AJ396),"")</f>
        <v/>
      </c>
      <c r="AQ396" s="128">
        <v>495</v>
      </c>
      <c r="AR396" s="7" t="b">
        <f>IF(AP$396=AJ396,L$13*(AQ396*AN396))</f>
        <v>0</v>
      </c>
      <c r="AS396" s="7" t="b">
        <f>IF(AP$396=AJ396,L$14*(AQ396*AN396))</f>
        <v>0</v>
      </c>
      <c r="AT396" s="7">
        <f>AR396-AS396</f>
        <v>0</v>
      </c>
      <c r="AU396" s="126"/>
      <c r="AV396" s="126"/>
      <c r="AX396" s="126">
        <v>1</v>
      </c>
      <c r="AY396" s="137" t="s">
        <v>89</v>
      </c>
      <c r="AZ396" s="138"/>
      <c r="BA396" s="139"/>
      <c r="BB396" s="128">
        <v>1.125E-2</v>
      </c>
      <c r="BC396" s="128" t="str">
        <f>IF((M$11=AY396),AX396,"")</f>
        <v/>
      </c>
      <c r="BD396" s="128" t="str">
        <f>IFERROR(SMALL(BC$396:BC$398,AX396),"")</f>
        <v/>
      </c>
      <c r="BE396" s="128">
        <v>495</v>
      </c>
      <c r="BF396" s="7" t="b">
        <f>IF(BD$396=AX396,M$13*(BE396*BB396))</f>
        <v>0</v>
      </c>
      <c r="BG396" s="7" t="b">
        <f>IF(BD$396=AX396,M$14*(BE396*BB396))</f>
        <v>0</v>
      </c>
      <c r="BH396" s="7">
        <f>BF396-BG396</f>
        <v>0</v>
      </c>
      <c r="BI396" s="126"/>
      <c r="BL396" s="128" t="e">
        <f>#REF!-#REF!</f>
        <v>#REF!</v>
      </c>
      <c r="BM396" s="126"/>
    </row>
    <row r="397" spans="6:65" s="123" customFormat="1" hidden="1">
      <c r="F397" s="126">
        <v>2</v>
      </c>
      <c r="G397" s="137" t="s">
        <v>156</v>
      </c>
      <c r="H397" s="138"/>
      <c r="I397" s="139"/>
      <c r="J397" s="128">
        <f>IF(I344=1,0.14624, IF(I344=2, 0.479, IF(I344=3, 0.22, IF(I344=4, 0.207, IF(I344=5, 0.0462, IF(I344=6, 0.0462, IF(I344=7, 0.0023, IF(I344=8, 0.0023,""))))))))</f>
        <v>0.14624000000000001</v>
      </c>
      <c r="K397" s="128" t="str">
        <f>IF((J$11=G397),F397,"")</f>
        <v/>
      </c>
      <c r="L397" s="128" t="str">
        <f>IFERROR(SMALL(K$396:K$398,F397),"")</f>
        <v/>
      </c>
      <c r="M397" s="128">
        <v>301</v>
      </c>
      <c r="N397" s="3" t="b">
        <f>IF(L$396=F397,IF(J$8=G$68,J$13*J397*45366,IF(J$8=G$69,J$13*J397*31130)))</f>
        <v>0</v>
      </c>
      <c r="O397" s="7" t="b">
        <f>IF(L$396=F397,J$14*J397*45366)</f>
        <v>0</v>
      </c>
      <c r="P397" s="3">
        <f>(((N397-O397)/1000)*0.000001)*J$7</f>
        <v>0</v>
      </c>
      <c r="Q397" s="126" t="s">
        <v>64</v>
      </c>
      <c r="R397" s="126"/>
      <c r="S397" s="126"/>
      <c r="T397" s="126"/>
      <c r="V397" s="126">
        <v>2</v>
      </c>
      <c r="W397" s="137" t="s">
        <v>156</v>
      </c>
      <c r="X397" s="138"/>
      <c r="Y397" s="139"/>
      <c r="Z397" s="128">
        <f>IF(Y344=1,0.14624, IF(Y344=2, 0.479, IF(Y344=3, 0.22, IF(Y344=4, 0.207, IF(Y344=5, 0.0462, IF(Y344=6, 0.0462, IF(Y344=7, 0.0023, IF(Y344=8, 0.0023,""))))))))</f>
        <v>0.14624000000000001</v>
      </c>
      <c r="AA397" s="128" t="str">
        <f>IF((K$11=W397),V397,"")</f>
        <v/>
      </c>
      <c r="AB397" s="128" t="str">
        <f t="shared" ref="AB397:AB398" si="170">IFERROR(SMALL(AA$396:AA$398,V397),"")</f>
        <v/>
      </c>
      <c r="AC397" s="128">
        <v>301</v>
      </c>
      <c r="AD397" s="3" t="b">
        <f>IF(AB$396=V397,IF(K$8=W$68,K$13*Z397*45366,IF(K$8=W$69,K$13*Z397*31130)))</f>
        <v>0</v>
      </c>
      <c r="AE397" s="7" t="b">
        <f>IF(AB$396=V397,K$14*Z397*45366)</f>
        <v>0</v>
      </c>
      <c r="AF397" s="3">
        <f>(((AD397-AE397)/1000)*0.000001)*K$7</f>
        <v>0</v>
      </c>
      <c r="AG397" s="126" t="s">
        <v>64</v>
      </c>
      <c r="AH397" s="126"/>
      <c r="AI397" s="126"/>
      <c r="AJ397" s="126">
        <v>2</v>
      </c>
      <c r="AK397" s="137" t="s">
        <v>156</v>
      </c>
      <c r="AL397" s="138"/>
      <c r="AM397" s="139"/>
      <c r="AN397" s="128">
        <f>IF(AM344=1,0.14624, IF(AM344=2, 0.479, IF(AM344=3, 0.22, IF(AM344=4, 0.207, IF(AM344=5, 0.0462, IF(AM344=6, 0.0462, IF(AM344=7, 0.0023, IF(AM344=8, 0.0023,""))))))))</f>
        <v>0.14624000000000001</v>
      </c>
      <c r="AO397" s="128" t="str">
        <f t="shared" ref="AO397:AO398" si="171">IF((L$11=AK397),AJ397,"")</f>
        <v/>
      </c>
      <c r="AP397" s="128" t="str">
        <f t="shared" ref="AP397:AP398" si="172">IFERROR(SMALL(AO$396:AO$398,AJ397),"")</f>
        <v/>
      </c>
      <c r="AQ397" s="128">
        <v>301</v>
      </c>
      <c r="AR397" s="3" t="b">
        <f>IF(AP$396=AJ397,IF(L$8=AK$68,L$13*AN397*45366,IF(L$8=AK$69,L$13*AN397*31130)))</f>
        <v>0</v>
      </c>
      <c r="AS397" s="7" t="b">
        <f>IF(AP$396=AJ397,L$14*AN397*45366)</f>
        <v>0</v>
      </c>
      <c r="AT397" s="3">
        <f>(((AR397-AS397)/1000)*0.000001)*L$7</f>
        <v>0</v>
      </c>
      <c r="AU397" s="126" t="s">
        <v>64</v>
      </c>
      <c r="AV397" s="126"/>
      <c r="AX397" s="126">
        <v>2</v>
      </c>
      <c r="AY397" s="137" t="s">
        <v>156</v>
      </c>
      <c r="AZ397" s="138"/>
      <c r="BA397" s="139"/>
      <c r="BB397" s="128">
        <f>IF(BA344=1,0.14624, IF(BA344=2, 0.479, IF(BA344=3, 0.22, IF(BA344=4, 0.207, IF(BA344=5, 0.0462, IF(BA344=6, 0.0462, IF(BA344=7, 0.0023, IF(BA344=8, 0.0023,""))))))))</f>
        <v>0.14624000000000001</v>
      </c>
      <c r="BC397" s="128" t="str">
        <f>IF((M$11=AY397),AX397,"")</f>
        <v/>
      </c>
      <c r="BD397" s="128" t="str">
        <f>IFERROR(SMALL(BC$396:BC$398,AX397),"")</f>
        <v/>
      </c>
      <c r="BE397" s="128">
        <v>301</v>
      </c>
      <c r="BF397" s="3" t="b">
        <f>IF(BD$396=AX397,IF(M$8=AY$68,M$13*BB397*45366,IF(M$8=AY$69,M$13*BB397*31130)))</f>
        <v>0</v>
      </c>
      <c r="BG397" s="7" t="b">
        <f>IF(BD$396=AX397,M$14*BB397*45366)</f>
        <v>0</v>
      </c>
      <c r="BH397" s="3">
        <f>(((BF397-BG397)/1000)*0.000001)*M$7</f>
        <v>0</v>
      </c>
      <c r="BI397" s="126" t="s">
        <v>64</v>
      </c>
      <c r="BL397" s="128" t="e">
        <f>((((#REF!-#REF!)/1000)*45366)*0.000001)*#REF!</f>
        <v>#REF!</v>
      </c>
      <c r="BM397" s="126" t="s">
        <v>64</v>
      </c>
    </row>
    <row r="398" spans="6:65" s="123" customFormat="1" hidden="1">
      <c r="F398" s="126">
        <v>3</v>
      </c>
      <c r="G398" s="137" t="s">
        <v>157</v>
      </c>
      <c r="H398" s="138"/>
      <c r="I398" s="139"/>
      <c r="J398" s="128">
        <f>IF(I344=1,0.1297, IF(I344=2, 0.362, IF(I344=3, 0.165, IF(I344=4, 0.178, IF(I344=5, 0.0354, IF(I344=6, 0.0354, IF(I344=7,"", IF(I344=8, 0.0018,""))))))))</f>
        <v>0.12970000000000001</v>
      </c>
      <c r="K398" s="128" t="str">
        <f>IF((J$11=G398),F398,"")</f>
        <v/>
      </c>
      <c r="L398" s="128" t="str">
        <f>IFERROR(SMALL(K$396:K$398,F398),"")</f>
        <v/>
      </c>
      <c r="M398" s="128">
        <v>247</v>
      </c>
      <c r="N398" s="3" t="b">
        <f>IF(L$396=F398,IF(J$8=G$68,J$13*J398*45366,IF(J$8=G$69,J$13*J398*31130)))</f>
        <v>0</v>
      </c>
      <c r="O398" s="7" t="b">
        <f>IF(L$396=F398,J$14*J398*45366)</f>
        <v>0</v>
      </c>
      <c r="P398" s="3">
        <f>(((N398-O398)/1000)*0.000001)*J$7</f>
        <v>0</v>
      </c>
      <c r="Q398" s="126" t="s">
        <v>64</v>
      </c>
      <c r="R398" s="126"/>
      <c r="S398" s="126"/>
      <c r="T398" s="126"/>
      <c r="V398" s="126">
        <v>3</v>
      </c>
      <c r="W398" s="137" t="s">
        <v>157</v>
      </c>
      <c r="X398" s="138"/>
      <c r="Y398" s="139"/>
      <c r="Z398" s="128">
        <f>IF(Y344=1,0.1297, IF(Y344=2, 0.362, IF(Y344=3, 0.165, IF(Y344=4, 0.178, IF(Y344=5, 0.0354, IF(Y344=6, 0.0354, IF(Y344=7,"", IF(Y344=8, 0.0018,""))))))))</f>
        <v>0.12970000000000001</v>
      </c>
      <c r="AA398" s="128" t="str">
        <f>IF((K$11=W398),V398,"")</f>
        <v/>
      </c>
      <c r="AB398" s="128" t="str">
        <f t="shared" si="170"/>
        <v/>
      </c>
      <c r="AC398" s="128">
        <v>247</v>
      </c>
      <c r="AD398" s="3" t="b">
        <f>IF(AB$396=V398,IF(K$8=W$68,K$13*Z398*45366,IF(K$8=W$69,K$13*Z398*31130)))</f>
        <v>0</v>
      </c>
      <c r="AE398" s="7" t="b">
        <f>IF(AB$396=V398,K$14*Z398*45366)</f>
        <v>0</v>
      </c>
      <c r="AF398" s="3">
        <f>(((AD398-AE398)/1000)*0.000001)*K$7</f>
        <v>0</v>
      </c>
      <c r="AG398" s="126" t="s">
        <v>64</v>
      </c>
      <c r="AH398" s="126"/>
      <c r="AI398" s="126"/>
      <c r="AJ398" s="126">
        <v>3</v>
      </c>
      <c r="AK398" s="137" t="s">
        <v>157</v>
      </c>
      <c r="AL398" s="138"/>
      <c r="AM398" s="139"/>
      <c r="AN398" s="128">
        <f>IF(AM344=1,0.1297, IF(AM344=2, 0.362, IF(AM344=3, 0.165, IF(AM344=4, 0.178, IF(AM344=5, 0.0354, IF(AM344=6, 0.0354, IF(AM344=7,"", IF(AM344=8, 0.0018,""))))))))</f>
        <v>0.12970000000000001</v>
      </c>
      <c r="AO398" s="128" t="str">
        <f t="shared" si="171"/>
        <v/>
      </c>
      <c r="AP398" s="128" t="str">
        <f t="shared" si="172"/>
        <v/>
      </c>
      <c r="AQ398" s="128">
        <v>247</v>
      </c>
      <c r="AR398" s="3" t="b">
        <f>IF(AP$396=AJ398,IF(L$8=AK$68,L$13*AN398*45366,IF(L$8=AK$69,L$13*AN398*31130)))</f>
        <v>0</v>
      </c>
      <c r="AS398" s="7" t="b">
        <f>IF(AP$396=AJ398,L$14*AN398*45366)</f>
        <v>0</v>
      </c>
      <c r="AT398" s="3">
        <f>(((AR398-AS398)/1000)*0.000001)*L$7</f>
        <v>0</v>
      </c>
      <c r="AU398" s="126" t="s">
        <v>64</v>
      </c>
      <c r="AV398" s="126"/>
      <c r="AX398" s="126">
        <v>3</v>
      </c>
      <c r="AY398" s="137" t="s">
        <v>157</v>
      </c>
      <c r="AZ398" s="138"/>
      <c r="BA398" s="139"/>
      <c r="BB398" s="128">
        <f>IF(BA344=1,0.1297, IF(BA344=2, 0.362, IF(BA344=3, 0.165, IF(BA344=4, 0.178, IF(BA344=5, 0.0354, IF(BA344=6, 0.0354, IF(BA344=7,"", IF(BA344=8, 0.0018,""))))))))</f>
        <v>0.12970000000000001</v>
      </c>
      <c r="BC398" s="128" t="str">
        <f>IF((M$11=AY398),AX398,"")</f>
        <v/>
      </c>
      <c r="BD398" s="128" t="str">
        <f>IFERROR(SMALL(BC$396:BC$398,AX398),"")</f>
        <v/>
      </c>
      <c r="BE398" s="128">
        <v>247</v>
      </c>
      <c r="BF398" s="3" t="b">
        <f>IF(BD$396=AX398,IF(M$8=AY$68,M$13*BB398*45366,IF(M$8=AY$69,M$13*BB398*31130)))</f>
        <v>0</v>
      </c>
      <c r="BG398" s="7" t="b">
        <f>IF(BD$396=AX398,M$14*BB398*45366)</f>
        <v>0</v>
      </c>
      <c r="BH398" s="3">
        <f>(((BF398-BG398)/1000)*0.000001)*M$7</f>
        <v>0</v>
      </c>
      <c r="BI398" s="126" t="s">
        <v>64</v>
      </c>
      <c r="BL398" s="128" t="e">
        <f>((((#REF!-#REF!)/1000)*45366)*0.000001)*#REF!</f>
        <v>#REF!</v>
      </c>
      <c r="BM398" s="126" t="s">
        <v>64</v>
      </c>
    </row>
    <row r="399" spans="6:65" hidden="1">
      <c r="F399" s="2"/>
      <c r="G399" s="2"/>
      <c r="H399" s="2"/>
      <c r="I399" s="2"/>
      <c r="J399" s="2"/>
      <c r="K399" s="2"/>
      <c r="L399" s="2"/>
      <c r="M399" s="2"/>
      <c r="N399" s="2"/>
      <c r="O399" s="2"/>
      <c r="P399" s="2"/>
      <c r="Q399" s="2"/>
      <c r="R399" s="2"/>
      <c r="S399" s="2"/>
      <c r="T399" s="2"/>
      <c r="V399" s="2"/>
      <c r="W399" s="2"/>
      <c r="X399" s="2"/>
      <c r="Y399" s="2"/>
      <c r="Z399" s="2"/>
      <c r="AA399" s="2"/>
      <c r="AB399" s="2"/>
      <c r="AC399" s="2"/>
      <c r="AD399" s="2"/>
      <c r="AE399" s="2"/>
      <c r="AF399" s="2"/>
      <c r="AG399" s="2"/>
      <c r="AH399" s="2"/>
      <c r="AI399" s="2"/>
      <c r="AJ399" s="2"/>
      <c r="AK399" s="2"/>
      <c r="AL399" s="2"/>
      <c r="AM399" s="2"/>
      <c r="AN399" s="2"/>
      <c r="AO399" s="2"/>
      <c r="AP399" s="2"/>
      <c r="AQ399" s="2"/>
      <c r="AR399" s="2"/>
      <c r="AS399" s="2"/>
      <c r="AT399" s="2"/>
      <c r="AU399" s="2"/>
      <c r="AV399" s="2"/>
      <c r="AX399" s="2"/>
      <c r="AY399" s="2"/>
      <c r="AZ399" s="2"/>
      <c r="BA399" s="2"/>
      <c r="BB399" s="2"/>
      <c r="BC399" s="2"/>
      <c r="BD399" s="2"/>
      <c r="BE399" s="2"/>
      <c r="BF399" s="2"/>
      <c r="BG399" s="2"/>
      <c r="BH399" s="2"/>
      <c r="BI399" s="2"/>
      <c r="BL399" s="2"/>
      <c r="BM399" s="2"/>
    </row>
    <row r="400" spans="6:65" hidden="1">
      <c r="F400" s="2"/>
      <c r="G400" s="2"/>
      <c r="H400" s="2"/>
      <c r="I400" s="2"/>
      <c r="J400" s="2"/>
      <c r="K400" s="2"/>
      <c r="L400" s="2"/>
      <c r="M400" s="2"/>
      <c r="N400" s="2"/>
      <c r="O400" s="2"/>
      <c r="P400" s="2"/>
      <c r="Q400" s="2"/>
      <c r="R400" s="2"/>
      <c r="S400" s="2"/>
      <c r="T400" s="2"/>
      <c r="V400" s="2"/>
      <c r="W400" s="2"/>
      <c r="X400" s="2"/>
      <c r="Y400" s="2"/>
      <c r="Z400" s="2"/>
      <c r="AA400" s="2"/>
      <c r="AB400" s="2"/>
      <c r="AC400" s="2"/>
      <c r="AD400" s="2"/>
      <c r="AE400" s="2"/>
      <c r="AF400" s="2"/>
      <c r="AG400" s="2"/>
      <c r="AH400" s="2"/>
      <c r="AI400" s="2"/>
      <c r="AJ400" s="2"/>
      <c r="AK400" s="2"/>
      <c r="AL400" s="2"/>
      <c r="AM400" s="2"/>
      <c r="AN400" s="2"/>
      <c r="AO400" s="2"/>
      <c r="AP400" s="2"/>
      <c r="AQ400" s="2"/>
      <c r="AR400" s="2"/>
      <c r="AS400" s="2"/>
      <c r="AT400" s="2"/>
      <c r="AU400" s="2"/>
      <c r="AV400" s="2"/>
      <c r="AX400" s="2"/>
      <c r="AY400" s="2"/>
      <c r="AZ400" s="2"/>
      <c r="BA400" s="2"/>
      <c r="BB400" s="2"/>
      <c r="BC400" s="2"/>
      <c r="BD400" s="2"/>
      <c r="BE400" s="2"/>
      <c r="BF400" s="2"/>
      <c r="BG400" s="2"/>
      <c r="BH400" s="2"/>
      <c r="BI400" s="2"/>
      <c r="BL400" s="2"/>
      <c r="BM400" s="2"/>
    </row>
    <row r="401" spans="6:65">
      <c r="F401" s="2"/>
      <c r="G401" s="16"/>
      <c r="H401" s="2"/>
      <c r="I401" s="2"/>
      <c r="J401" s="2"/>
      <c r="K401" s="2"/>
      <c r="L401" s="2"/>
      <c r="M401" s="2"/>
      <c r="N401" s="2"/>
      <c r="O401" s="2"/>
      <c r="P401" s="2"/>
      <c r="Q401" s="2"/>
      <c r="R401" s="2"/>
      <c r="S401" s="2"/>
      <c r="T401" s="2"/>
      <c r="V401" s="2"/>
      <c r="W401" s="2"/>
      <c r="X401" s="2"/>
      <c r="Y401" s="2"/>
      <c r="Z401" s="2"/>
      <c r="AA401" s="2"/>
      <c r="AB401" s="2"/>
      <c r="AC401" s="2"/>
      <c r="AD401" s="2"/>
      <c r="AE401" s="2"/>
      <c r="AF401" s="2"/>
      <c r="AG401" s="2"/>
      <c r="AH401" s="2"/>
      <c r="AI401" s="2"/>
      <c r="AJ401" s="2"/>
      <c r="AK401" s="2"/>
      <c r="AL401" s="2"/>
      <c r="AM401" s="2"/>
      <c r="AN401" s="2"/>
      <c r="AO401" s="2"/>
      <c r="AP401" s="2"/>
      <c r="AQ401" s="2"/>
      <c r="AR401" s="2"/>
      <c r="AS401" s="2"/>
      <c r="AT401" s="2"/>
      <c r="AU401" s="2"/>
      <c r="AV401" s="2"/>
      <c r="AX401" s="2"/>
      <c r="AY401" s="2"/>
      <c r="AZ401" s="2"/>
      <c r="BA401" s="2"/>
      <c r="BB401" s="2"/>
      <c r="BC401" s="2"/>
      <c r="BD401" s="2"/>
      <c r="BE401" s="2"/>
      <c r="BF401" s="2"/>
      <c r="BG401" s="2"/>
      <c r="BH401" s="2"/>
      <c r="BI401" s="2"/>
      <c r="BL401" s="2"/>
      <c r="BM401" s="2"/>
    </row>
    <row r="402" spans="6:65">
      <c r="F402" s="2"/>
      <c r="G402" s="16"/>
      <c r="H402" s="2"/>
      <c r="I402" s="2"/>
      <c r="J402" s="2"/>
      <c r="K402" s="2"/>
      <c r="L402" s="2"/>
      <c r="M402" s="2"/>
      <c r="N402" s="2"/>
      <c r="O402" s="2"/>
      <c r="P402" s="2"/>
      <c r="Q402" s="2"/>
      <c r="R402" s="2"/>
      <c r="S402" s="2"/>
      <c r="T402" s="2"/>
      <c r="V402" s="2"/>
      <c r="W402" s="2"/>
      <c r="X402" s="2"/>
      <c r="Y402" s="2"/>
      <c r="Z402" s="2"/>
      <c r="AA402" s="2"/>
      <c r="AB402" s="2"/>
      <c r="AC402" s="2"/>
      <c r="AD402" s="2"/>
      <c r="AE402" s="2"/>
      <c r="AF402" s="2"/>
      <c r="AG402" s="2"/>
      <c r="AH402" s="2"/>
      <c r="AI402" s="2"/>
      <c r="AJ402" s="2"/>
      <c r="AK402" s="2"/>
      <c r="AL402" s="2"/>
      <c r="AM402" s="2"/>
      <c r="AN402" s="2"/>
      <c r="AO402" s="2"/>
      <c r="AP402" s="2"/>
      <c r="AQ402" s="2"/>
      <c r="AR402" s="2"/>
      <c r="AS402" s="2"/>
      <c r="AT402" s="2"/>
      <c r="AU402" s="2"/>
      <c r="AV402" s="2"/>
      <c r="AX402" s="2"/>
      <c r="AY402" s="2"/>
      <c r="AZ402" s="2"/>
      <c r="BA402" s="2"/>
      <c r="BB402" s="2"/>
      <c r="BC402" s="2"/>
      <c r="BD402" s="2"/>
      <c r="BE402" s="2"/>
      <c r="BF402" s="2"/>
      <c r="BG402" s="2"/>
      <c r="BH402" s="2"/>
      <c r="BI402" s="2"/>
      <c r="BL402" s="2"/>
      <c r="BM402" s="2"/>
    </row>
    <row r="403" spans="6:65">
      <c r="F403" s="2"/>
      <c r="G403" s="16"/>
      <c r="H403" s="2"/>
      <c r="I403" s="2"/>
      <c r="J403" s="2"/>
      <c r="K403" s="2"/>
      <c r="L403" s="2"/>
      <c r="M403" s="2"/>
      <c r="N403" s="2"/>
      <c r="O403" s="2"/>
      <c r="P403" s="2"/>
      <c r="Q403" s="2"/>
      <c r="R403" s="2"/>
      <c r="S403" s="2"/>
      <c r="T403" s="2"/>
      <c r="V403" s="2"/>
      <c r="W403" s="2"/>
      <c r="X403" s="2"/>
      <c r="Y403" s="2"/>
      <c r="Z403" s="2"/>
      <c r="AA403" s="2"/>
      <c r="AB403" s="2"/>
      <c r="AC403" s="2"/>
      <c r="AD403" s="2"/>
      <c r="AE403" s="2"/>
      <c r="AF403" s="2"/>
      <c r="AG403" s="2"/>
      <c r="AH403" s="2"/>
      <c r="AI403" s="2"/>
      <c r="AJ403" s="2"/>
      <c r="AK403" s="2"/>
      <c r="AL403" s="2"/>
      <c r="AM403" s="2"/>
      <c r="AN403" s="2"/>
      <c r="AO403" s="2"/>
      <c r="AP403" s="2"/>
      <c r="AQ403" s="2"/>
      <c r="AR403" s="2"/>
      <c r="AS403" s="2"/>
      <c r="AT403" s="2"/>
      <c r="AU403" s="2"/>
      <c r="AV403" s="2"/>
      <c r="AX403" s="2"/>
      <c r="AY403" s="2"/>
      <c r="AZ403" s="2"/>
      <c r="BA403" s="2"/>
      <c r="BB403" s="2"/>
      <c r="BC403" s="2"/>
      <c r="BD403" s="2"/>
      <c r="BE403" s="2"/>
      <c r="BF403" s="2"/>
      <c r="BG403" s="2"/>
      <c r="BH403" s="2"/>
      <c r="BI403" s="2"/>
      <c r="BL403" s="2"/>
      <c r="BM403" s="2"/>
    </row>
    <row r="404" spans="6:65">
      <c r="F404" s="2"/>
      <c r="G404" s="16"/>
      <c r="H404" s="2"/>
      <c r="I404" s="2"/>
      <c r="J404" s="2"/>
      <c r="K404" s="2"/>
      <c r="L404" s="2"/>
      <c r="M404" s="2"/>
      <c r="N404" s="2"/>
      <c r="O404" s="2"/>
      <c r="P404" s="2"/>
      <c r="Q404" s="2"/>
      <c r="R404" s="2"/>
      <c r="S404" s="2"/>
      <c r="T404" s="2"/>
      <c r="V404" s="2"/>
      <c r="W404" s="2"/>
      <c r="X404" s="2"/>
      <c r="Y404" s="2"/>
      <c r="Z404" s="2"/>
      <c r="AA404" s="2"/>
      <c r="AB404" s="2"/>
      <c r="AC404" s="2"/>
      <c r="AD404" s="2"/>
      <c r="AE404" s="2"/>
      <c r="AF404" s="2"/>
      <c r="AG404" s="2"/>
      <c r="AH404" s="2"/>
      <c r="AI404" s="2"/>
      <c r="AJ404" s="2"/>
      <c r="AK404" s="2"/>
      <c r="AL404" s="2"/>
      <c r="AM404" s="2"/>
      <c r="AN404" s="2"/>
      <c r="AO404" s="2"/>
      <c r="AP404" s="2"/>
      <c r="AQ404" s="2"/>
      <c r="AR404" s="2"/>
      <c r="AS404" s="2"/>
      <c r="AT404" s="2"/>
      <c r="AU404" s="2"/>
      <c r="AV404" s="2"/>
      <c r="AX404" s="2"/>
      <c r="AY404" s="2"/>
      <c r="AZ404" s="2"/>
      <c r="BA404" s="2"/>
      <c r="BB404" s="2"/>
      <c r="BC404" s="2"/>
      <c r="BD404" s="2"/>
      <c r="BE404" s="2"/>
      <c r="BF404" s="2"/>
      <c r="BG404" s="2"/>
      <c r="BH404" s="2"/>
      <c r="BI404" s="2"/>
      <c r="BL404" s="2"/>
      <c r="BM404" s="2"/>
    </row>
    <row r="405" spans="6:65">
      <c r="F405" s="2"/>
      <c r="G405" s="16"/>
      <c r="H405" s="2"/>
      <c r="I405" s="2"/>
      <c r="J405" s="2"/>
      <c r="K405" s="2"/>
      <c r="L405" s="2"/>
      <c r="M405" s="2"/>
      <c r="N405" s="2"/>
      <c r="O405" s="2"/>
      <c r="P405" s="2"/>
      <c r="Q405" s="2"/>
      <c r="R405" s="2"/>
      <c r="S405" s="2"/>
      <c r="T405" s="2"/>
      <c r="V405" s="2"/>
      <c r="W405" s="2"/>
      <c r="X405" s="2"/>
      <c r="Y405" s="2"/>
      <c r="Z405" s="2"/>
      <c r="AA405" s="2"/>
      <c r="AB405" s="2"/>
      <c r="AC405" s="2"/>
      <c r="AD405" s="2"/>
      <c r="AE405" s="2"/>
      <c r="AF405" s="2"/>
      <c r="AG405" s="2"/>
      <c r="AH405" s="2"/>
      <c r="AI405" s="2"/>
      <c r="AJ405" s="2"/>
      <c r="AK405" s="2"/>
      <c r="AL405" s="2"/>
      <c r="AM405" s="2"/>
      <c r="AN405" s="2"/>
      <c r="AO405" s="2"/>
      <c r="AP405" s="2"/>
      <c r="AQ405" s="2"/>
      <c r="AR405" s="2"/>
      <c r="AS405" s="2"/>
      <c r="AT405" s="2"/>
      <c r="AU405" s="2"/>
      <c r="AV405" s="2"/>
      <c r="AX405" s="2"/>
      <c r="AY405" s="2"/>
      <c r="AZ405" s="2"/>
      <c r="BA405" s="2"/>
      <c r="BB405" s="2"/>
      <c r="BC405" s="2"/>
      <c r="BD405" s="2"/>
      <c r="BE405" s="2"/>
      <c r="BF405" s="2"/>
      <c r="BG405" s="2"/>
      <c r="BH405" s="2"/>
      <c r="BI405" s="2"/>
      <c r="BL405" s="2"/>
      <c r="BM405" s="2"/>
    </row>
    <row r="406" spans="6:65">
      <c r="F406" s="2"/>
      <c r="G406" s="16"/>
      <c r="H406" s="2"/>
      <c r="I406" s="2"/>
      <c r="J406" s="2"/>
      <c r="K406" s="2"/>
      <c r="L406" s="2"/>
      <c r="M406" s="2"/>
      <c r="N406" s="2"/>
      <c r="O406" s="2"/>
      <c r="P406" s="2"/>
      <c r="Q406" s="2"/>
      <c r="R406" s="2"/>
      <c r="S406" s="2"/>
      <c r="T406" s="2"/>
      <c r="V406" s="2"/>
      <c r="W406" s="2"/>
      <c r="X406" s="2"/>
      <c r="Y406" s="2"/>
      <c r="Z406" s="2"/>
      <c r="AA406" s="2"/>
      <c r="AB406" s="2"/>
      <c r="AC406" s="2"/>
      <c r="AD406" s="2"/>
      <c r="AE406" s="2"/>
      <c r="AF406" s="2"/>
      <c r="AG406" s="2"/>
      <c r="AH406" s="2"/>
      <c r="AI406" s="2"/>
      <c r="AJ406" s="2"/>
      <c r="AK406" s="2"/>
      <c r="AL406" s="2"/>
      <c r="AM406" s="2"/>
      <c r="AN406" s="2"/>
      <c r="AO406" s="2"/>
      <c r="AP406" s="2"/>
      <c r="AQ406" s="2"/>
      <c r="AR406" s="2"/>
      <c r="AS406" s="2"/>
      <c r="AT406" s="2"/>
      <c r="AU406" s="2"/>
      <c r="AV406" s="2"/>
      <c r="AX406" s="2"/>
      <c r="AY406" s="2"/>
      <c r="AZ406" s="2"/>
      <c r="BA406" s="2"/>
      <c r="BB406" s="2"/>
      <c r="BC406" s="2"/>
      <c r="BD406" s="2"/>
      <c r="BE406" s="2"/>
      <c r="BF406" s="2"/>
      <c r="BG406" s="2"/>
      <c r="BH406" s="2"/>
      <c r="BI406" s="2"/>
      <c r="BL406" s="2"/>
      <c r="BM406" s="2"/>
    </row>
    <row r="407" spans="6:65">
      <c r="F407" s="2"/>
      <c r="G407" s="16"/>
      <c r="H407" s="2"/>
      <c r="I407" s="2"/>
      <c r="J407" s="2"/>
      <c r="K407" s="2"/>
      <c r="L407" s="2"/>
      <c r="M407" s="2"/>
      <c r="N407" s="2"/>
      <c r="O407" s="2"/>
      <c r="P407" s="2"/>
      <c r="Q407" s="2"/>
      <c r="R407" s="2"/>
      <c r="S407" s="2"/>
      <c r="T407" s="2"/>
      <c r="V407" s="2"/>
      <c r="W407" s="2"/>
      <c r="X407" s="2"/>
      <c r="Y407" s="2"/>
      <c r="Z407" s="2"/>
      <c r="AA407" s="2"/>
      <c r="AB407" s="2"/>
      <c r="AC407" s="2"/>
      <c r="AD407" s="2"/>
      <c r="AE407" s="2"/>
      <c r="AF407" s="2"/>
      <c r="AG407" s="2"/>
      <c r="AH407" s="2"/>
      <c r="AI407" s="2"/>
      <c r="AJ407" s="2"/>
      <c r="AK407" s="2"/>
      <c r="AL407" s="2"/>
      <c r="AM407" s="2"/>
      <c r="AN407" s="2"/>
      <c r="AO407" s="2"/>
      <c r="AP407" s="2"/>
      <c r="AQ407" s="2"/>
      <c r="AR407" s="2"/>
      <c r="AS407" s="2"/>
      <c r="AT407" s="2"/>
      <c r="AU407" s="2"/>
      <c r="AV407" s="2"/>
      <c r="AX407" s="2"/>
      <c r="AY407" s="2"/>
      <c r="AZ407" s="2"/>
      <c r="BA407" s="2"/>
      <c r="BB407" s="2"/>
      <c r="BC407" s="2"/>
      <c r="BD407" s="2"/>
      <c r="BE407" s="2"/>
      <c r="BF407" s="2"/>
      <c r="BG407" s="2"/>
      <c r="BH407" s="2"/>
      <c r="BI407" s="2"/>
      <c r="BL407" s="2"/>
      <c r="BM407" s="2"/>
    </row>
    <row r="408" spans="6:65">
      <c r="F408" s="2"/>
      <c r="G408" s="16"/>
      <c r="H408" s="2"/>
      <c r="I408" s="2"/>
      <c r="J408" s="2"/>
      <c r="K408" s="2"/>
      <c r="L408" s="2"/>
      <c r="M408" s="2"/>
      <c r="N408" s="2"/>
      <c r="O408" s="2"/>
      <c r="P408" s="2"/>
      <c r="Q408" s="2"/>
      <c r="R408" s="2"/>
      <c r="S408" s="2"/>
      <c r="T408" s="2"/>
      <c r="V408" s="2"/>
      <c r="W408" s="2"/>
      <c r="X408" s="2"/>
      <c r="Y408" s="2"/>
      <c r="Z408" s="2"/>
      <c r="AA408" s="2"/>
      <c r="AB408" s="2"/>
      <c r="AC408" s="2"/>
      <c r="AD408" s="2"/>
      <c r="AE408" s="2"/>
      <c r="AF408" s="2"/>
      <c r="AG408" s="2"/>
      <c r="AH408" s="2"/>
      <c r="AI408" s="2"/>
      <c r="AJ408" s="2"/>
      <c r="AK408" s="2"/>
      <c r="AL408" s="2"/>
      <c r="AM408" s="2"/>
      <c r="AN408" s="2"/>
      <c r="AO408" s="2"/>
      <c r="AP408" s="2"/>
      <c r="AQ408" s="2"/>
      <c r="AR408" s="2"/>
      <c r="AS408" s="2"/>
      <c r="AT408" s="2"/>
      <c r="AU408" s="2"/>
      <c r="AV408" s="2"/>
      <c r="AX408" s="2"/>
      <c r="AY408" s="2"/>
      <c r="AZ408" s="2"/>
      <c r="BA408" s="2"/>
      <c r="BB408" s="2"/>
      <c r="BC408" s="2"/>
      <c r="BD408" s="2"/>
      <c r="BE408" s="2"/>
      <c r="BF408" s="2"/>
      <c r="BG408" s="2"/>
      <c r="BH408" s="2"/>
      <c r="BI408" s="2"/>
      <c r="BL408" s="2"/>
      <c r="BM408" s="2"/>
    </row>
    <row r="409" spans="6:65">
      <c r="F409" s="2"/>
      <c r="G409" s="16"/>
      <c r="H409" s="2"/>
      <c r="I409" s="2"/>
      <c r="J409" s="2"/>
      <c r="K409" s="2"/>
      <c r="L409" s="2"/>
      <c r="M409" s="2"/>
      <c r="N409" s="2"/>
      <c r="O409" s="2"/>
      <c r="P409" s="2"/>
      <c r="Q409" s="2"/>
      <c r="R409" s="2"/>
      <c r="S409" s="2"/>
      <c r="T409" s="2"/>
      <c r="V409" s="2"/>
      <c r="W409" s="2"/>
      <c r="X409" s="2"/>
      <c r="Y409" s="2"/>
      <c r="Z409" s="2"/>
      <c r="AA409" s="2"/>
      <c r="AB409" s="2"/>
      <c r="AC409" s="2"/>
      <c r="AD409" s="2"/>
      <c r="AE409" s="2"/>
      <c r="AF409" s="2"/>
      <c r="AG409" s="2"/>
      <c r="AH409" s="2"/>
      <c r="AI409" s="2"/>
      <c r="AJ409" s="2"/>
      <c r="AK409" s="2"/>
      <c r="AL409" s="2"/>
      <c r="AM409" s="2"/>
      <c r="AN409" s="2"/>
      <c r="AO409" s="2"/>
      <c r="AP409" s="2"/>
      <c r="AQ409" s="2"/>
      <c r="AR409" s="2"/>
      <c r="AS409" s="2"/>
      <c r="AT409" s="2"/>
      <c r="AU409" s="2"/>
      <c r="AV409" s="2"/>
      <c r="AX409" s="2"/>
      <c r="AY409" s="2"/>
      <c r="AZ409" s="2"/>
      <c r="BA409" s="2"/>
      <c r="BB409" s="2"/>
      <c r="BC409" s="2"/>
      <c r="BD409" s="2"/>
      <c r="BE409" s="2"/>
      <c r="BF409" s="2"/>
      <c r="BG409" s="2"/>
      <c r="BH409" s="2"/>
      <c r="BI409" s="2"/>
      <c r="BL409" s="2"/>
      <c r="BM409" s="2"/>
    </row>
    <row r="410" spans="6:65">
      <c r="F410" s="2"/>
      <c r="G410" s="16"/>
      <c r="H410" s="2"/>
      <c r="I410" s="2"/>
      <c r="J410" s="2"/>
      <c r="K410" s="2"/>
      <c r="L410" s="2"/>
      <c r="M410" s="2"/>
      <c r="N410" s="2"/>
      <c r="O410" s="2"/>
      <c r="P410" s="2"/>
      <c r="Q410" s="2"/>
      <c r="R410" s="2"/>
      <c r="S410" s="2"/>
      <c r="T410" s="2"/>
      <c r="V410" s="2"/>
      <c r="W410" s="2"/>
      <c r="X410" s="2"/>
      <c r="Y410" s="2"/>
      <c r="Z410" s="2"/>
      <c r="AA410" s="2"/>
      <c r="AB410" s="2"/>
      <c r="AC410" s="2"/>
      <c r="AD410" s="2"/>
      <c r="AE410" s="2"/>
      <c r="AF410" s="2"/>
      <c r="AG410" s="2"/>
      <c r="AH410" s="2"/>
      <c r="AI410" s="2"/>
      <c r="AJ410" s="2"/>
      <c r="AK410" s="2"/>
      <c r="AL410" s="2"/>
      <c r="AM410" s="2"/>
      <c r="AN410" s="2"/>
      <c r="AO410" s="2"/>
      <c r="AP410" s="2"/>
      <c r="AQ410" s="2"/>
      <c r="AR410" s="2"/>
      <c r="AS410" s="2"/>
      <c r="AT410" s="2"/>
      <c r="AU410" s="2"/>
      <c r="AV410" s="2"/>
      <c r="AX410" s="2"/>
      <c r="AY410" s="2"/>
      <c r="AZ410" s="2"/>
      <c r="BA410" s="2"/>
      <c r="BB410" s="2"/>
      <c r="BC410" s="2"/>
      <c r="BD410" s="2"/>
      <c r="BE410" s="2"/>
      <c r="BF410" s="2"/>
      <c r="BG410" s="2"/>
      <c r="BH410" s="2"/>
      <c r="BI410" s="2"/>
      <c r="BL410" s="2"/>
      <c r="BM410" s="2"/>
    </row>
    <row r="411" spans="6:65">
      <c r="F411" s="2"/>
      <c r="G411" s="2"/>
      <c r="H411" s="2"/>
      <c r="I411" s="2"/>
      <c r="J411" s="2"/>
      <c r="K411" s="2"/>
      <c r="L411" s="2"/>
      <c r="M411" s="2"/>
      <c r="N411" s="2"/>
      <c r="O411" s="2"/>
      <c r="P411" s="2"/>
      <c r="Q411" s="2"/>
      <c r="R411" s="2"/>
      <c r="S411" s="2"/>
      <c r="T411" s="2"/>
      <c r="V411" s="2"/>
      <c r="W411" s="2"/>
      <c r="X411" s="2"/>
      <c r="Y411" s="2"/>
      <c r="Z411" s="2"/>
      <c r="AA411" s="2"/>
      <c r="AB411" s="2"/>
      <c r="AC411" s="2"/>
      <c r="AD411" s="2"/>
      <c r="AE411" s="2"/>
      <c r="AF411" s="2"/>
      <c r="AG411" s="2"/>
      <c r="AH411" s="2"/>
      <c r="AI411" s="2"/>
      <c r="AJ411" s="2"/>
      <c r="AK411" s="2"/>
      <c r="AL411" s="2"/>
      <c r="AM411" s="2"/>
      <c r="AN411" s="2"/>
      <c r="AO411" s="2"/>
      <c r="AP411" s="2"/>
      <c r="AQ411" s="2"/>
      <c r="AR411" s="2"/>
      <c r="AS411" s="2"/>
      <c r="AT411" s="2"/>
      <c r="AU411" s="2"/>
      <c r="AV411" s="2"/>
      <c r="AX411" s="2"/>
      <c r="AY411" s="2"/>
      <c r="AZ411" s="2"/>
      <c r="BA411" s="2"/>
      <c r="BB411" s="2"/>
      <c r="BC411" s="2"/>
      <c r="BD411" s="2"/>
      <c r="BE411" s="2"/>
      <c r="BF411" s="2"/>
      <c r="BG411" s="2"/>
      <c r="BH411" s="2"/>
      <c r="BI411" s="2"/>
      <c r="BL411" s="2"/>
      <c r="BM411" s="2"/>
    </row>
    <row r="429" spans="6:14">
      <c r="F429" s="2"/>
      <c r="G429" s="16"/>
      <c r="H429" s="16"/>
      <c r="I429" s="16"/>
      <c r="J429" s="2"/>
      <c r="K429" s="2"/>
      <c r="L429" s="2"/>
      <c r="M429" s="2"/>
      <c r="N429" s="2"/>
    </row>
    <row r="430" spans="6:14">
      <c r="F430" s="2"/>
      <c r="G430" s="2"/>
      <c r="H430" s="57"/>
      <c r="I430" s="57"/>
      <c r="J430" s="2"/>
      <c r="K430" s="2"/>
      <c r="L430" s="2"/>
      <c r="M430" s="2"/>
      <c r="N430" s="2"/>
    </row>
    <row r="431" spans="6:14">
      <c r="F431" s="2"/>
      <c r="G431" s="2"/>
      <c r="H431" s="57" t="str">
        <f>IF((J$12=G431),F431,"")</f>
        <v/>
      </c>
      <c r="I431" s="57" t="str">
        <f>IFERROR(SMALL(H$431:H$440,F431),"")</f>
        <v/>
      </c>
      <c r="J431" s="2"/>
      <c r="K431" s="2"/>
      <c r="L431" s="2"/>
      <c r="M431" s="2"/>
      <c r="N431" s="2"/>
    </row>
    <row r="432" spans="6:14">
      <c r="F432" s="2"/>
      <c r="G432" s="2"/>
      <c r="H432" s="57" t="str">
        <f t="shared" ref="H432:H439" si="173">IF((J$12=G432),F432,"")</f>
        <v/>
      </c>
      <c r="I432" s="57"/>
      <c r="J432" s="2"/>
      <c r="K432" s="2"/>
      <c r="L432" s="2"/>
      <c r="M432" s="2"/>
      <c r="N432" s="2"/>
    </row>
    <row r="433" spans="6:14">
      <c r="F433" s="2"/>
      <c r="G433" s="2"/>
      <c r="H433" s="57" t="str">
        <f t="shared" si="173"/>
        <v/>
      </c>
      <c r="I433" s="57"/>
      <c r="J433" s="2"/>
      <c r="K433" s="2"/>
      <c r="L433" s="2"/>
      <c r="M433" s="2"/>
      <c r="N433" s="2"/>
    </row>
    <row r="434" spans="6:14">
      <c r="F434" s="2"/>
      <c r="G434" s="2"/>
      <c r="H434" s="57" t="str">
        <f t="shared" si="173"/>
        <v/>
      </c>
      <c r="I434" s="57"/>
      <c r="J434" s="2"/>
      <c r="K434" s="2"/>
      <c r="L434" s="2"/>
      <c r="M434" s="2"/>
      <c r="N434" s="2"/>
    </row>
    <row r="435" spans="6:14">
      <c r="F435" s="2"/>
      <c r="G435" s="2"/>
      <c r="H435" s="57" t="str">
        <f t="shared" si="173"/>
        <v/>
      </c>
      <c r="I435" s="57"/>
      <c r="J435" s="2"/>
      <c r="K435" s="2"/>
      <c r="L435" s="2"/>
      <c r="M435" s="2"/>
      <c r="N435" s="2"/>
    </row>
    <row r="436" spans="6:14">
      <c r="F436" s="2"/>
      <c r="G436" s="2"/>
      <c r="H436" s="57" t="str">
        <f t="shared" si="173"/>
        <v/>
      </c>
      <c r="I436" s="57"/>
      <c r="J436" s="2"/>
      <c r="K436" s="2"/>
      <c r="L436" s="2"/>
      <c r="M436" s="2"/>
      <c r="N436" s="2"/>
    </row>
    <row r="437" spans="6:14">
      <c r="F437" s="2"/>
      <c r="G437" s="2"/>
      <c r="H437" s="57" t="str">
        <f t="shared" si="173"/>
        <v/>
      </c>
      <c r="I437" s="57"/>
      <c r="J437" s="2"/>
      <c r="K437" s="2"/>
      <c r="L437" s="2"/>
      <c r="M437" s="2"/>
      <c r="N437" s="2"/>
    </row>
    <row r="438" spans="6:14">
      <c r="F438" s="2"/>
      <c r="G438" s="2"/>
      <c r="H438" s="57" t="str">
        <f t="shared" si="173"/>
        <v/>
      </c>
      <c r="I438" s="57"/>
      <c r="J438" s="2"/>
      <c r="K438" s="2"/>
      <c r="L438" s="2"/>
      <c r="M438" s="2"/>
      <c r="N438" s="2"/>
    </row>
    <row r="439" spans="6:14">
      <c r="F439" s="2"/>
      <c r="G439" s="2"/>
      <c r="H439" s="57" t="str">
        <f t="shared" si="173"/>
        <v/>
      </c>
      <c r="I439" s="57"/>
      <c r="J439" s="2"/>
      <c r="K439" s="2"/>
      <c r="L439" s="2"/>
      <c r="M439" s="2"/>
      <c r="N439" s="2"/>
    </row>
    <row r="440" spans="6:14">
      <c r="F440" s="2"/>
      <c r="G440" s="17"/>
      <c r="H440" s="57" t="str">
        <f>IF((J$12=G440),F440,"")</f>
        <v/>
      </c>
      <c r="I440" s="2"/>
      <c r="J440" s="2"/>
      <c r="K440" s="2"/>
      <c r="L440" s="2"/>
      <c r="M440" s="2"/>
      <c r="N440" s="2"/>
    </row>
  </sheetData>
  <sheetProtection algorithmName="SHA-512" hashValue="T/DXYZgA6tPVvF3IJamTf8IMh/aQw18p8dqmaX6XpoN8TOWPEyU3Mr1CYqZwpyFK+Mpuvs1ppXWzBgeDUT+U/Q==" saltValue="mNHPLvZynbUw5gubCqQYqA==" spinCount="100000" sheet="1" objects="1" scenarios="1"/>
  <protectedRanges>
    <protectedRange sqref="J7:O14" name="Range1"/>
  </protectedRanges>
  <mergeCells count="10">
    <mergeCell ref="M37:M42"/>
    <mergeCell ref="F15:H26"/>
    <mergeCell ref="F35:I36"/>
    <mergeCell ref="F13:H13"/>
    <mergeCell ref="F3:P3"/>
    <mergeCell ref="F7:H7"/>
    <mergeCell ref="F4:N5"/>
    <mergeCell ref="F8:H8"/>
    <mergeCell ref="F9:H12"/>
    <mergeCell ref="F6:I6"/>
  </mergeCells>
  <phoneticPr fontId="32" type="noConversion"/>
  <conditionalFormatting sqref="J17">
    <cfRule type="cellIs" dxfId="5" priority="8" stopIfTrue="1" operator="lessThan">
      <formula>-0.01*J7</formula>
    </cfRule>
  </conditionalFormatting>
  <conditionalFormatting sqref="J17:M17">
    <cfRule type="cellIs" dxfId="4" priority="5" operator="lessThanOrEqual">
      <formula>-0.01*J$7</formula>
    </cfRule>
  </conditionalFormatting>
  <conditionalFormatting sqref="J20:M20">
    <cfRule type="cellIs" dxfId="3" priority="4" operator="lessThanOrEqual">
      <formula>-0.01*J$7</formula>
    </cfRule>
  </conditionalFormatting>
  <conditionalFormatting sqref="J23:M23">
    <cfRule type="cellIs" dxfId="2" priority="3" operator="lessThanOrEqual">
      <formula>-0.01*J$7</formula>
    </cfRule>
  </conditionalFormatting>
  <conditionalFormatting sqref="J26:M26">
    <cfRule type="cellIs" dxfId="1" priority="2" operator="lessThanOrEqual">
      <formula>-0.1*J$7</formula>
    </cfRule>
  </conditionalFormatting>
  <conditionalFormatting sqref="K20:P20">
    <cfRule type="cellIs" priority="6" stopIfTrue="1" operator="lessThan">
      <formula>-0.01*J7</formula>
    </cfRule>
  </conditionalFormatting>
  <conditionalFormatting sqref="M20">
    <cfRule type="cellIs" dxfId="0" priority="1" stopIfTrue="1" operator="lessThan">
      <formula>-0.01*P$7</formula>
    </cfRule>
  </conditionalFormatting>
  <dataValidations count="29">
    <dataValidation type="list" allowBlank="1" showInputMessage="1" showErrorMessage="1" sqref="J8" xr:uid="{B841F3F7-1BF7-428C-B8D1-8CE0F331F2F4}">
      <formula1>$G$65:$G$70</formula1>
    </dataValidation>
    <dataValidation type="list" allowBlank="1" showInputMessage="1" showErrorMessage="1" sqref="K8" xr:uid="{AE285E0E-9103-4E14-8B38-DDD782E4A6A3}">
      <formula1>$W$65:$W$70</formula1>
    </dataValidation>
    <dataValidation type="list" allowBlank="1" showInputMessage="1" showErrorMessage="1" sqref="L8" xr:uid="{D25F86AB-E92F-4645-B25E-E426BE40BD38}">
      <formula1>$AK$65:$AK$70</formula1>
    </dataValidation>
    <dataValidation type="list" allowBlank="1" showInputMessage="1" showErrorMessage="1" sqref="M8" xr:uid="{853F9C1C-7B1F-4BB3-8F1A-57BDB1F9EEBF}">
      <formula1>$AY$65:$AY$70</formula1>
    </dataValidation>
    <dataValidation type="whole" operator="greaterThan" allowBlank="1" showInputMessage="1" showErrorMessage="1" errorTitle="Negalima reikšmė" error="Bazinis TP kiekis reikšmė gali būti tik teigiamas sveikas skaičius." sqref="J13" xr:uid="{35A3E6CF-08F9-474E-99B6-88D722B6008B}">
      <formula1>1</formula1>
    </dataValidation>
    <dataValidation type="whole" operator="greaterThanOrEqual" allowBlank="1" showInputMessage="1" showErrorMessage="1" errorTitle="Negalima reikšmė" error="Bazinis TP kiekis reikšmė gali būti tik teigiamas sveikas skaičius." sqref="K13:O13" xr:uid="{5AD9A312-25DD-4A70-9D26-6F4E03D50311}">
      <formula1>1</formula1>
    </dataValidation>
    <dataValidation type="decimal" operator="greaterThanOrEqual" allowBlank="1" showInputMessage="1" showErrorMessage="1" errorTitle="Negalima reikšmė" error="Įgyvendinimo laikotarpio reikšmė gali būti tik teigiamas skaičius." sqref="J7:O7" xr:uid="{75844CB3-EAF3-4127-B9DD-72459FE3F859}">
      <formula1>1</formula1>
    </dataValidation>
    <dataValidation type="whole" operator="greaterThanOrEqual" allowBlank="1" showInputMessage="1" showErrorMessage="1" errorTitle="Negalima reikšmė" error="Projektinis TP skaičius būti tik teigiamas sveikas skaičius." sqref="J14:O14" xr:uid="{559E3DFF-3E6D-4200-A9ED-FB4B56668777}">
      <formula1>0</formula1>
    </dataValidation>
    <dataValidation type="list" allowBlank="1" showInputMessage="1" showErrorMessage="1" sqref="J10" xr:uid="{672B9FF7-F395-4369-94A3-E227DE39C875}">
      <formula1>IF(K65=1,IF(J106=1,$G$75:$G$83,IF(J106=2, $G$75:$G$83, IF(J106=3, $L$75:$L$81,""))),IF(K65=2,$G$185:$G$193,IF(K65=3,IF($K$272=1,$G$250,$L$250:$L$257), IF(K65=4, $G$334:$G$341, IF(K65=5, $G$334:$G$341,$M$65)))))</formula1>
    </dataValidation>
    <dataValidation type="list" allowBlank="1" showInputMessage="1" showErrorMessage="1" sqref="J9" xr:uid="{2DD1ED95-CE83-43A3-997A-86F2A7988229}">
      <formula1>IF($K$65=1, $G$106:$G$108, IF($K$65=2, $G$210:$G$211, IF($K$65=3, $G$272:$G$276, IF($K$65=4, $G$356:$G$357, IF($K$65=5, $G$356:$G$357, M65)))))</formula1>
    </dataValidation>
    <dataValidation type="list" allowBlank="1" showInputMessage="1" showErrorMessage="1" sqref="J11" xr:uid="{F21B6E3A-2D84-4115-86E1-42921E7C283F}">
      <formula1>IF($K$65=1, $G$114:$G$116, IF($K$65=2, $G$214:$G$215, IF($K$65=3, $G$280:$G$284, IF($K$65=4, $G$362:$G$363,IF($K$65=5, $G$362:$G$363, M65)))))</formula1>
    </dataValidation>
    <dataValidation type="list" allowBlank="1" showInputMessage="1" showErrorMessage="1" sqref="J12" xr:uid="{CC374F42-A6E8-44FB-8B9C-ADBA585C7B59}">
      <formula1>IF(K65=1,IF(J114=1,$G$86:$G$94,IF(J114=2, $G$86:$G$94, IF(J114=3, $L$86:$L$92,""))),IF(K65=2,$G$197:$G$205,IF(K65=3,IF($K$280=1,$G$260,$L$260:$L$267), IF(K65=4, $G$344:$G$351, IF(K65=5, $G$344:$G$351,$M$65)))))</formula1>
    </dataValidation>
    <dataValidation type="list" allowBlank="1" showInputMessage="1" showErrorMessage="1" sqref="K12" xr:uid="{C43022C4-33F4-4368-A252-AD1F91714153}">
      <formula1>IF(AA65=1,IF(Z114=1,$W$86:$W$94,IF(Z114=2, $W$86:$W$94, IF(Z114=3, $AB$86:$AB$92,""))),IF(AA65=2,$W$197:$W$205,IF(AA65=3,IF($AA$280=1,$W$260,$AB$260:$AB$267), IF(AA65=4, $W$344:$W$351,IF(AA65=5, $W$344:$W$351,$M$65)))))</formula1>
    </dataValidation>
    <dataValidation type="list" allowBlank="1" showInputMessage="1" showErrorMessage="1" sqref="K11" xr:uid="{12932B1F-7A1A-45C9-9112-9734D4322D04}">
      <formula1>IF($AA$65=1, $W$114:$W$116, IF($AA$65=2, $W$214:$W$215, IF($AA$65=3, $W$280:$W$284, IF($AA$65=4, $W$362:$W$363,IF($AA$65=5, $W$362:$W$363, AC65)))))</formula1>
    </dataValidation>
    <dataValidation type="list" allowBlank="1" showInputMessage="1" showErrorMessage="1" sqref="M11" xr:uid="{5F1A3164-D9A0-48AA-96EB-E37B716CDE26}">
      <formula1>IF($BC$65=1, $AY$114:$AY$116, IF($BC$65=2, $AY$214:$AY$215, IF($BC$65=3, $AY$280:$AY$284, IF($BC$65=4, $AY$362:$AY$363,IF($BC$65=5, $AY$362:$AY$363, BE65)))))</formula1>
    </dataValidation>
    <dataValidation type="list" allowBlank="1" showInputMessage="1" showErrorMessage="1" sqref="M12" xr:uid="{11268EF3-4B2B-46C7-A4CC-E14867489B3F}">
      <formula1>IF(BC65=1,IF(BB114=1,$AY$86:$AY$94,IF(BB114=2, $AY$86:$AY$94, IF(BB114=3, $BD$86:$BD$92,""))),IF(BC65=2,$AY$186:$AY$194,IF(BC65=3,IF($BC$280=1,$AY$260,$BD$260:$BD$267), IF(BC65=4, $AY$344:$AY$351, IF(BC65=5, $AY$344:$AY$351,$BE$65)))))</formula1>
    </dataValidation>
    <dataValidation type="list" allowBlank="1" showInputMessage="1" showErrorMessage="1" sqref="N8:O8" xr:uid="{097D99BC-BA49-4D40-AFA0-45347E1EC5D9}">
      <formula1>#REF!</formula1>
    </dataValidation>
    <dataValidation type="list" allowBlank="1" showInputMessage="1" showErrorMessage="1" sqref="N10:O10" xr:uid="{D996C08D-C19D-4BB6-B83C-ED48227C41D7}">
      <formula1>IF(#REF!=1,IF(#REF!=1,#REF!,IF(#REF!=2, #REF!, IF(#REF!=3, #REF!,""))),IF(#REF!=2,#REF!,IF(#REF!=3,IF(#REF!=1,#REF!,#REF!), IF(#REF!=4, #REF!,$M$65))))</formula1>
    </dataValidation>
    <dataValidation type="list" allowBlank="1" showInputMessage="1" showErrorMessage="1" sqref="N9:O9" xr:uid="{28AD8005-0D10-4D6A-A5B6-6DA212781529}">
      <formula1>IF(#REF!=1, #REF!, IF(#REF!=2, #REF!, IF(#REF!=3, #REF!, IF(#REF!=4, #REF!, $M$65))))</formula1>
    </dataValidation>
    <dataValidation type="list" allowBlank="1" showInputMessage="1" showErrorMessage="1" sqref="N12:O12" xr:uid="{6D0E6AFD-6F76-4FFE-A450-2EB04ED305DA}">
      <formula1>IF(AD65=1,IF(AC106=1,$W$75:$W$83,IF(AC106=2, $W$75:$W$83, IF(AC106=3, $AB$75:$AB$81,""))),IF(AD65=2,$W$186:$W$194,IF(AD65=3,IF($AA$272=1,$W$250,$AB$250:$AB$257), IF(AD65=4, $W$334:$W$341,$M$65))))</formula1>
    </dataValidation>
    <dataValidation type="list" allowBlank="1" showInputMessage="1" showErrorMessage="1" sqref="K10" xr:uid="{93B7D90D-EB5B-4BEE-B1BB-EA93D5E6A095}">
      <formula1>IF(AA65=1,IF(Z106=1,$W$75:$W$83,IF(Z106=2, $W$75:$W$83, IF(Z106=3, $AB$75:$AB$81,""))),IF(AA65=2,$W$186:$W$194,IF(AA65=3,IF($AA$272=1,$W$250,$AB$250:$AB$257), IF(AA65=4, $W$334:$W$341,IF(AA65=5, $W$334:$W$341,$M$65)))))</formula1>
    </dataValidation>
    <dataValidation type="list" allowBlank="1" showInputMessage="1" showErrorMessage="1" sqref="N11:O11" xr:uid="{EB428AB6-5367-4C95-8732-A928014C8925}">
      <formula1>IF($AA$65=1, $W$106:$W$108, IF($AA$65=2, $W$210:$W$211, IF($AA$65=3,$W$272:$W$276, IF($AA$65=4, $W$356:$W$357,$M$65))))</formula1>
    </dataValidation>
    <dataValidation type="list" allowBlank="1" showInputMessage="1" showErrorMessage="1" sqref="L11" xr:uid="{7C0C5656-1A83-4EFA-A935-94B294EF1DAF}">
      <formula1>IF($AO$65=1, $AK$114:$AK$116, IF($AO$65=2, $AK$214:$AK$215, IF($AO$65=3, $AK$280:$AK$284, IF($AO$65=4, $AK$362:$AK$363,IF($AO$65=5, $AK$362:$AK$363, AQ65)))))</formula1>
    </dataValidation>
    <dataValidation type="list" allowBlank="1" showInputMessage="1" showErrorMessage="1" sqref="L12" xr:uid="{CB5FD160-F0BD-4B7A-90F7-9BF797EE90B7}">
      <formula1>IF(AO65=1,IF(AN114=1,$AK$86:$AK$94,IF(AN114=2, $AK$86:$AK$94, IF(AN114=3, $AP$86:$AP$92,""))),IF(AO65=2,$AK$186:$AK$194,IF(AO65=3,IF($AO$280=1,$AK$260,$AP$260:$AP$267), IF(AO65=4, $AK$344:$AK$351, IF(AO65=5, $AK$344:$AK$351,$AQ$65)))))</formula1>
    </dataValidation>
    <dataValidation type="list" allowBlank="1" showInputMessage="1" showErrorMessage="1" sqref="L10" xr:uid="{4A0D1730-E60D-446C-8B83-8279EB3D48B4}">
      <formula1>IF(AO65=1,IF(AN106=1,$AK$75:$AK$83,IF(AN106=2, $AK$75:$AK$83, IF(AN106=3, $AP$75:$AP$81,""))),IF(AO65=2,$AK$186:$AK$194,IF(AO65=3,IF($AO$272=1,$AK$250,$AP$250:$AP$257), IF(AO65=4, $AK$334:$AK$341,IF(AO65=5, $AK$334:$AK$341,$M$65)))))</formula1>
    </dataValidation>
    <dataValidation type="list" allowBlank="1" showInputMessage="1" showErrorMessage="1" sqref="L9" xr:uid="{C4E8F4FE-5349-4358-9B03-DC0E145C9865}">
      <formula1>IF($AO$65=1, $AK$106:$AK$108, IF($AO$65=2, $AK$210:$AK$211, IF($AO$65=3, $AK$272:$AK$276, IF($AO$65=4, $AK$356:$AK$357, IF($AO$65=5, $AK$356:$AK$357, $M$65)))))</formula1>
    </dataValidation>
    <dataValidation type="list" allowBlank="1" showInputMessage="1" showErrorMessage="1" sqref="M10" xr:uid="{444F008A-EBA1-4DA7-AA6D-3FE36B186040}">
      <formula1>IF(BC65=1,IF(BB106=1,$AY$75:$AY$83,IF(BB106=2, $AY$75:$AY$83, IF(BB106=3, $BD$75:$BD$81,""))),IF(BC65=2,$AY$186:$AY$194,IF(BC65=3,IF($BC$272=1,$AY$250,$BD$250:$BD$257), IF(BC65=4, $AY$334:$AY$341,IF(BC65=5, $AY$334:$AY$341,$M$65)))))</formula1>
    </dataValidation>
    <dataValidation type="list" allowBlank="1" showInputMessage="1" showErrorMessage="1" sqref="M9" xr:uid="{C6B12CF3-97FE-4BE8-97E9-B72077E374EA}">
      <formula1>IF($BC$65=1, $AY$123:$AY$125, IF($BC$65=2, $AY$210:$AY$211, IF($BC$65=3, $AY$272:$AY$276, IF($BC$65=4, $AY$356:$AY$357, IF($BC$65=5, $AY$356:$AY$357,$M$65)))))</formula1>
    </dataValidation>
    <dataValidation type="list" allowBlank="1" showInputMessage="1" showErrorMessage="1" sqref="K9" xr:uid="{2B45F20D-C5D6-414B-BE2A-51B64B517311}">
      <formula1>IF($AA$65=1, $W$106:$W$108, IF($AA$65=2, $W$210:$W$211, IF($AA$65=3,$W$272:$W$276, IF($AA$65=4, $W$356:$W$357,IF($AA$65=5, $W$356:$W$357,$M$65)))))</formula1>
    </dataValidation>
  </dataValidations>
  <pageMargins left="0.7" right="0.7" top="0.75" bottom="0.75" header="0.3" footer="0.3"/>
  <pageSetup paperSize="9" orientation="portrait" r:id="rId1"/>
  <drawing r:id="rId2"/>
  <legacyDrawing r:id="rId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BC5CA39-BB92-47C4-8F70-FB39AC130575}">
  <dimension ref="E2:J11"/>
  <sheetViews>
    <sheetView zoomScale="70" zoomScaleNormal="70" workbookViewId="0">
      <selection activeCell="M29" sqref="M29"/>
    </sheetView>
  </sheetViews>
  <sheetFormatPr defaultColWidth="9.140625" defaultRowHeight="15"/>
  <cols>
    <col min="1" max="4" width="9.140625" style="1"/>
    <col min="5" max="5" width="2.5703125" style="1" customWidth="1"/>
    <col min="6" max="6" width="22.85546875" style="1" hidden="1" customWidth="1"/>
    <col min="7" max="7" width="17.28515625" style="1" customWidth="1"/>
    <col min="8" max="8" width="36" style="1" bestFit="1" customWidth="1"/>
    <col min="9" max="9" width="30.42578125" style="1" bestFit="1" customWidth="1"/>
    <col min="10" max="10" width="2.5703125" style="1" customWidth="1"/>
    <col min="11" max="16384" width="9.140625" style="1"/>
  </cols>
  <sheetData>
    <row r="2" spans="5:10">
      <c r="E2" s="47"/>
      <c r="F2" s="46"/>
      <c r="G2" s="46"/>
      <c r="H2" s="46"/>
      <c r="I2" s="46"/>
      <c r="J2" s="45"/>
    </row>
    <row r="3" spans="5:10">
      <c r="E3" s="27"/>
      <c r="F3" s="305" t="s">
        <v>158</v>
      </c>
      <c r="G3" s="306"/>
      <c r="H3" s="306"/>
      <c r="I3" s="307"/>
      <c r="J3" s="64"/>
    </row>
    <row r="4" spans="5:10">
      <c r="E4" s="27"/>
      <c r="F4" s="308"/>
      <c r="G4" s="309"/>
      <c r="H4" s="309"/>
      <c r="I4" s="310"/>
      <c r="J4" s="64"/>
    </row>
    <row r="5" spans="5:10">
      <c r="E5" s="27"/>
      <c r="F5" s="158" t="s">
        <v>159</v>
      </c>
      <c r="G5" s="158" t="s">
        <v>160</v>
      </c>
      <c r="H5" s="158" t="s">
        <v>161</v>
      </c>
      <c r="I5" s="158" t="s">
        <v>162</v>
      </c>
      <c r="J5" s="22"/>
    </row>
    <row r="6" spans="5:10" ht="15" customHeight="1">
      <c r="E6" s="27"/>
      <c r="F6" s="167" t="s">
        <v>163</v>
      </c>
      <c r="G6" s="159" t="s">
        <v>164</v>
      </c>
      <c r="H6" s="160" t="s">
        <v>165</v>
      </c>
      <c r="I6" s="249" t="s">
        <v>166</v>
      </c>
      <c r="J6" s="22"/>
    </row>
    <row r="7" spans="5:10">
      <c r="E7" s="27"/>
      <c r="F7" s="161"/>
      <c r="G7" s="162" t="s">
        <v>168</v>
      </c>
      <c r="H7" s="163" t="s">
        <v>165</v>
      </c>
      <c r="I7" s="161" t="s">
        <v>169</v>
      </c>
      <c r="J7" s="22"/>
    </row>
    <row r="8" spans="5:10">
      <c r="E8" s="27"/>
      <c r="F8" s="164"/>
      <c r="G8" s="164"/>
      <c r="H8" s="165"/>
      <c r="I8" s="165"/>
      <c r="J8" s="22"/>
    </row>
    <row r="9" spans="5:10">
      <c r="E9" s="21"/>
      <c r="F9" s="19"/>
      <c r="G9" s="19"/>
      <c r="H9" s="19"/>
      <c r="I9" s="19"/>
      <c r="J9" s="18"/>
    </row>
    <row r="11" spans="5:10">
      <c r="G11" s="166" t="s">
        <v>167</v>
      </c>
    </row>
  </sheetData>
  <sheetProtection algorithmName="SHA-512" hashValue="UFwJbwseayzhUANyC1QlsEt2uBAvM81vjWRVLOpu1dkQEitaDWhJxS5a3L1hYRdhgRIo/kVruNViOR1j6sI0zw==" saltValue="2OWU9zCCOCxSUiWSqraFsg==" spinCount="100000" sheet="1" objects="1" scenarios="1"/>
  <mergeCells count="1">
    <mergeCell ref="F3:I4"/>
  </mergeCells>
  <pageMargins left="0.7" right="0.7" top="0.75" bottom="0.75" header="0.3" footer="0.3"/>
  <drawing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kumentas" ma:contentTypeID="0x010100C67B5D35E21D0B428D793AA6710A2F6D" ma:contentTypeVersion="13" ma:contentTypeDescription="Kurkite naują dokumentą." ma:contentTypeScope="" ma:versionID="037f591fa3e6fd7db150906fb18ad237">
  <xsd:schema xmlns:xsd="http://www.w3.org/2001/XMLSchema" xmlns:xs="http://www.w3.org/2001/XMLSchema" xmlns:p="http://schemas.microsoft.com/office/2006/metadata/properties" xmlns:ns2="10e4ba4f-5857-40f8-9c97-8e4a89091d60" xmlns:ns3="e76399d7-00f3-45ce-9e6b-d5f8fc0c91a5" targetNamespace="http://schemas.microsoft.com/office/2006/metadata/properties" ma:root="true" ma:fieldsID="9b5eb3272318246d52878e8a3847b068" ns2:_="" ns3:_="">
    <xsd:import namespace="10e4ba4f-5857-40f8-9c97-8e4a89091d60"/>
    <xsd:import namespace="e76399d7-00f3-45ce-9e6b-d5f8fc0c91a5"/>
    <xsd:element name="properties">
      <xsd:complexType>
        <xsd:sequence>
          <xsd:element name="documentManagement">
            <xsd:complexType>
              <xsd:all>
                <xsd:element ref="ns2:MediaServiceMetadata" minOccurs="0"/>
                <xsd:element ref="ns2:MediaServiceFastMetadata" minOccurs="0"/>
                <xsd:element ref="ns2:MediaServiceObjectDetectorVersions"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3:SharedWithUsers" minOccurs="0"/>
                <xsd:element ref="ns3:SharedWithDetails" minOccurs="0"/>
                <xsd:element ref="ns2:_Flow_SignoffStatu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10e4ba4f-5857-40f8-9c97-8e4a89091d60"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ObjectDetectorVersions" ma:index="10" nillable="true" ma:displayName="MediaServiceObjectDetectorVersions" ma:hidden="true" ma:indexed="true" ma:internalName="MediaServiceObjectDetectorVersions" ma:readOnly="true">
      <xsd:simpleType>
        <xsd:restriction base="dms:Text"/>
      </xsd:simpleType>
    </xsd:element>
    <xsd:element name="lcf76f155ced4ddcb4097134ff3c332f" ma:index="12" nillable="true" ma:taxonomy="true" ma:internalName="lcf76f155ced4ddcb4097134ff3c332f" ma:taxonomyFieldName="MediaServiceImageTags" ma:displayName="Vaizdų žymės" ma:readOnly="false" ma:fieldId="{5cf76f15-5ced-4ddc-b409-7134ff3c332f}" ma:taxonomyMulti="true" ma:sspId="993cf2ba-b7a7-49f7-97d1-76e12a88c412" ma:termSetId="09814cd3-568e-fe90-9814-8d621ff8fb84" ma:anchorId="fba54fb3-c3e1-fe81-a776-ca4b69148c4d" ma:open="true" ma:isKeyword="false">
      <xsd:complexType>
        <xsd:sequence>
          <xsd:element ref="pc:Terms" minOccurs="0" maxOccurs="1"/>
        </xsd:sequence>
      </xsd:complexType>
    </xsd:element>
    <xsd:element name="MediaServiceOCR" ma:index="14" nillable="true" ma:displayName="Extracted Text" ma:internalName="MediaServiceOCR" ma:readOnly="true">
      <xsd:simpleType>
        <xsd:restriction base="dms:Note">
          <xsd:maxLength value="255"/>
        </xsd:restriction>
      </xsd:simpleType>
    </xsd:element>
    <xsd:element name="MediaServiceGenerationTime" ma:index="15" nillable="true" ma:displayName="MediaServiceGenerationTime" ma:hidden="true" ma:internalName="MediaServiceGenerationTime" ma:readOnly="true">
      <xsd:simpleType>
        <xsd:restriction base="dms:Text"/>
      </xsd:simpleType>
    </xsd:element>
    <xsd:element name="MediaServiceEventHashCode" ma:index="16" nillable="true" ma:displayName="MediaServiceEventHashCode" ma:hidden="true" ma:internalName="MediaServiceEventHashCode" ma:readOnly="true">
      <xsd:simpleType>
        <xsd:restriction base="dms:Text"/>
      </xsd:simpleType>
    </xsd:element>
    <xsd:element name="_Flow_SignoffStatus" ma:index="19" nillable="true" ma:displayName="Atsijungimo būsena" ma:internalName="Atsijungimo_x0020_b_x016b_sena">
      <xsd:simpleType>
        <xsd:restriction base="dms:Text"/>
      </xsd:simpleType>
    </xsd:element>
    <xsd:element name="MediaServiceSearchProperties" ma:index="20"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e76399d7-00f3-45ce-9e6b-d5f8fc0c91a5" elementFormDefault="qualified">
    <xsd:import namespace="http://schemas.microsoft.com/office/2006/documentManagement/types"/>
    <xsd:import namespace="http://schemas.microsoft.com/office/infopath/2007/PartnerControls"/>
    <xsd:element name="TaxCatchAll" ma:index="13" nillable="true" ma:displayName="Taxonomy Catch All Column" ma:hidden="true" ma:list="{9e9d473b-569d-4e6b-bba3-c08597506421}" ma:internalName="TaxCatchAll" ma:showField="CatchAllData" ma:web="e76399d7-00f3-45ce-9e6b-d5f8fc0c91a5">
      <xsd:complexType>
        <xsd:complexContent>
          <xsd:extension base="dms:MultiChoiceLookup">
            <xsd:sequence>
              <xsd:element name="Value" type="dms:Lookup" maxOccurs="unbounded" minOccurs="0" nillable="true"/>
            </xsd:sequence>
          </xsd:extension>
        </xsd:complexContent>
      </xsd:complexType>
    </xsd:element>
    <xsd:element name="SharedWithUsers" ma:index="17" nillable="true" ma:displayName="Bendrinama su"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8" nillable="true" ma:displayName="Bendrinta su išsamia informacija"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urinio tipas"/>
        <xsd:element ref="dc:title" minOccurs="0" maxOccurs="1" ma:index="4" ma:displayName="Antraštė"/>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TaxCatchAll xmlns="e76399d7-00f3-45ce-9e6b-d5f8fc0c91a5" xsi:nil="true"/>
    <lcf76f155ced4ddcb4097134ff3c332f xmlns="10e4ba4f-5857-40f8-9c97-8e4a89091d60">
      <Terms xmlns="http://schemas.microsoft.com/office/infopath/2007/PartnerControls"/>
    </lcf76f155ced4ddcb4097134ff3c332f>
    <_Flow_SignoffStatus xmlns="10e4ba4f-5857-40f8-9c97-8e4a89091d60" xsi:nil="true"/>
  </documentManagement>
</p:properties>
</file>

<file path=customXml/itemProps1.xml><?xml version="1.0" encoding="utf-8"?>
<ds:datastoreItem xmlns:ds="http://schemas.openxmlformats.org/officeDocument/2006/customXml" ds:itemID="{A371B36E-F87C-4498-8C5C-7A15D89242FD}">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10e4ba4f-5857-40f8-9c97-8e4a89091d60"/>
    <ds:schemaRef ds:uri="e76399d7-00f3-45ce-9e6b-d5f8fc0c91a5"/>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B3D76334-C788-4839-AE0D-DD7AB1D9FC7E}">
  <ds:schemaRefs>
    <ds:schemaRef ds:uri="http://schemas.microsoft.com/sharepoint/v3/contenttype/forms"/>
  </ds:schemaRefs>
</ds:datastoreItem>
</file>

<file path=customXml/itemProps3.xml><?xml version="1.0" encoding="utf-8"?>
<ds:datastoreItem xmlns:ds="http://schemas.openxmlformats.org/officeDocument/2006/customXml" ds:itemID="{7548FC7F-CEB1-489E-879F-3082855D308D}">
  <ds:schemaRefs>
    <ds:schemaRef ds:uri="http://schemas.microsoft.com/office/2006/metadata/properties"/>
    <ds:schemaRef ds:uri="http://schemas.microsoft.com/office/infopath/2007/PartnerControls"/>
    <ds:schemaRef ds:uri="e76399d7-00f3-45ce-9e6b-d5f8fc0c91a5"/>
    <ds:schemaRef ds:uri="10e4ba4f-5857-40f8-9c97-8e4a89091d60"/>
  </ds:schemaRefs>
</ds:datastoreItem>
</file>

<file path=docProps/app.xml><?xml version="1.0" encoding="utf-8"?>
<Properties xmlns="http://schemas.openxmlformats.org/officeDocument/2006/extended-properties" xmlns:vt="http://schemas.openxmlformats.org/officeDocument/2006/docPropsVTypes">
  <DocSecurity>0</DocSecurity>
  <ScaleCrop>false</ScaleCrop>
  <HeadingPairs>
    <vt:vector size="2" baseType="variant">
      <vt:variant>
        <vt:lpstr>Darbalapiai</vt:lpstr>
      </vt:variant>
      <vt:variant>
        <vt:i4>5</vt:i4>
      </vt:variant>
    </vt:vector>
  </HeadingPairs>
  <TitlesOfParts>
    <vt:vector size="5" baseType="lpstr">
      <vt:lpstr>Pradžia</vt:lpstr>
      <vt:lpstr>Skaičiuoklė_pvz</vt:lpstr>
      <vt:lpstr>Naudojimosi instrukcija</vt:lpstr>
      <vt:lpstr>Skaičiuoklė</vt:lpstr>
      <vt:lpstr>Atnaujinimas</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Daiva Žilienė</dc:creator>
  <cp:keywords/>
  <dc:description/>
  <cp:revision/>
  <dcterms:created xsi:type="dcterms:W3CDTF">2023-11-07T12:58:00Z</dcterms:created>
  <dcterms:modified xsi:type="dcterms:W3CDTF">2025-09-17T06:47:22Z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0x010100C67B5D35E21D0B428D793AA6710A2F6D</vt:lpwstr>
  </property>
  <property fmtid="{D5CDD505-2E9C-101B-9397-08002B2CF9AE}" pid="3" name="MediaServiceImageTags">
    <vt:lpwstr/>
  </property>
</Properties>
</file>