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RūtaPašiškevičiūtė\Downloads\Skaiciuokliu atnaujinimui\2025 me redakcijos\"/>
    </mc:Choice>
  </mc:AlternateContent>
  <xr:revisionPtr revIDLastSave="0" documentId="13_ncr:1_{74DC1653-1985-4E99-A807-7D27F3637AB2}" xr6:coauthVersionLast="47" xr6:coauthVersionMax="47" xr10:uidLastSave="{00000000-0000-0000-0000-000000000000}"/>
  <bookViews>
    <workbookView xWindow="-120" yWindow="-120" windowWidth="29040" windowHeight="15720" xr2:uid="{4EF9AD6D-4DB3-44C8-8E1B-DCEDD16E8C55}"/>
  </bookViews>
  <sheets>
    <sheet name="Pradžia" sheetId="7" r:id="rId1"/>
    <sheet name="Naudojimosi instrukcija" sheetId="6" r:id="rId2"/>
    <sheet name="Skaičiuoklė" sheetId="2" r:id="rId3"/>
    <sheet name="Atnaujinimas" sheetId="4" r:id="rId4"/>
    <sheet name="Sheet1" sheetId="9" state="hidden" r:id="rId5"/>
    <sheet name="sena instrukcija" sheetId="8"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Z27" i="2" l="1"/>
  <c r="BO27" i="2"/>
  <c r="BA27" i="2"/>
  <c r="AM27" i="2"/>
  <c r="Y27" i="2"/>
  <c r="J27" i="2"/>
  <c r="H126" i="2" l="1"/>
  <c r="I59" i="2"/>
  <c r="N23" i="2"/>
  <c r="Z49" i="2"/>
  <c r="BZ28" i="2" l="1"/>
  <c r="BO28" i="2"/>
  <c r="BA28" i="2"/>
  <c r="AM26" i="2"/>
  <c r="AM28" i="2"/>
  <c r="W169" i="2"/>
  <c r="X169" i="2"/>
  <c r="AB127" i="2"/>
  <c r="W120" i="2"/>
  <c r="W98" i="2"/>
  <c r="W42" i="2"/>
  <c r="AB40" i="2"/>
  <c r="Y26" i="2"/>
  <c r="Y28" i="2"/>
  <c r="J23" i="2"/>
  <c r="J28" i="2"/>
  <c r="J135" i="2"/>
  <c r="H120" i="2"/>
  <c r="H169" i="2"/>
  <c r="H161" i="2"/>
  <c r="I169" i="2"/>
  <c r="M127" i="2"/>
  <c r="H97" i="2"/>
  <c r="M40" i="2"/>
  <c r="M33" i="2"/>
  <c r="H42" i="2"/>
  <c r="BX162" i="2"/>
  <c r="BX163" i="2"/>
  <c r="BX164" i="2"/>
  <c r="BX165" i="2"/>
  <c r="BX166" i="2"/>
  <c r="BX167" i="2"/>
  <c r="BX168" i="2"/>
  <c r="BX161" i="2"/>
  <c r="BY168" i="2"/>
  <c r="BY167" i="2"/>
  <c r="BY166" i="2"/>
  <c r="BY165" i="2"/>
  <c r="BY164" i="2"/>
  <c r="BY163" i="2"/>
  <c r="BY162" i="2"/>
  <c r="BM162" i="2"/>
  <c r="BM163" i="2"/>
  <c r="BM164" i="2"/>
  <c r="BM165" i="2"/>
  <c r="BM166" i="2"/>
  <c r="BM167" i="2"/>
  <c r="BM168" i="2"/>
  <c r="BM161" i="2"/>
  <c r="BN168" i="2"/>
  <c r="BN167" i="2"/>
  <c r="BN166" i="2"/>
  <c r="BN165" i="2"/>
  <c r="BN164" i="2"/>
  <c r="BN163" i="2"/>
  <c r="BN162" i="2"/>
  <c r="AY162" i="2"/>
  <c r="AY163" i="2"/>
  <c r="AY164" i="2"/>
  <c r="AY165" i="2"/>
  <c r="AY166" i="2"/>
  <c r="AY167" i="2"/>
  <c r="AY168" i="2"/>
  <c r="AY161" i="2"/>
  <c r="AZ168" i="2"/>
  <c r="AZ167" i="2"/>
  <c r="AZ166" i="2"/>
  <c r="AZ165" i="2"/>
  <c r="AZ164" i="2"/>
  <c r="AZ163" i="2"/>
  <c r="AZ162" i="2"/>
  <c r="AK162" i="2"/>
  <c r="AK163" i="2"/>
  <c r="AK164" i="2"/>
  <c r="AK165" i="2"/>
  <c r="AK166" i="2"/>
  <c r="AK167" i="2"/>
  <c r="AK168" i="2"/>
  <c r="AK161" i="2"/>
  <c r="AL168" i="2"/>
  <c r="AL167" i="2"/>
  <c r="AL166" i="2"/>
  <c r="AL165" i="2"/>
  <c r="AL164" i="2"/>
  <c r="AL163" i="2"/>
  <c r="AL162" i="2"/>
  <c r="W161" i="2"/>
  <c r="W162" i="2"/>
  <c r="W163" i="2"/>
  <c r="W164" i="2"/>
  <c r="W165" i="2"/>
  <c r="W166" i="2"/>
  <c r="W167" i="2"/>
  <c r="W168" i="2"/>
  <c r="X168" i="2"/>
  <c r="X167" i="2"/>
  <c r="X166" i="2"/>
  <c r="X165" i="2"/>
  <c r="X164" i="2"/>
  <c r="X163" i="2"/>
  <c r="X162" i="2"/>
  <c r="CC120" i="2"/>
  <c r="CC121" i="2"/>
  <c r="CC122" i="2"/>
  <c r="CC123" i="2"/>
  <c r="CC124" i="2"/>
  <c r="CC125" i="2"/>
  <c r="CC126" i="2"/>
  <c r="CC119" i="2"/>
  <c r="BX119" i="2"/>
  <c r="BY119" i="2" s="1"/>
  <c r="BY145" i="2" s="1"/>
  <c r="BR119" i="2"/>
  <c r="BR120" i="2"/>
  <c r="BR121" i="2"/>
  <c r="BR122" i="2"/>
  <c r="BR123" i="2"/>
  <c r="BR124" i="2"/>
  <c r="BR125" i="2"/>
  <c r="BR126" i="2"/>
  <c r="BM119" i="2"/>
  <c r="BN119" i="2" s="1"/>
  <c r="BD120" i="2"/>
  <c r="BD121" i="2"/>
  <c r="BD122" i="2"/>
  <c r="BD123" i="2"/>
  <c r="BD124" i="2"/>
  <c r="BD125" i="2"/>
  <c r="BD126" i="2"/>
  <c r="BD119" i="2"/>
  <c r="AY119" i="2"/>
  <c r="AZ119" i="2" s="1"/>
  <c r="AP120" i="2"/>
  <c r="AP121" i="2"/>
  <c r="AP122" i="2"/>
  <c r="AP123" i="2"/>
  <c r="AP124" i="2"/>
  <c r="AP125" i="2"/>
  <c r="AP126" i="2"/>
  <c r="AP119" i="2"/>
  <c r="AK119" i="2"/>
  <c r="AL119" i="2" s="1"/>
  <c r="AB120" i="2"/>
  <c r="AB121" i="2"/>
  <c r="AB122" i="2"/>
  <c r="AB123" i="2"/>
  <c r="AB124" i="2"/>
  <c r="AB125" i="2"/>
  <c r="AB126" i="2"/>
  <c r="AB119" i="2"/>
  <c r="W119" i="2"/>
  <c r="BX90" i="2"/>
  <c r="BX91" i="2"/>
  <c r="BX92" i="2"/>
  <c r="BX93" i="2"/>
  <c r="BX94" i="2"/>
  <c r="BX95" i="2"/>
  <c r="BX96" i="2"/>
  <c r="BX97" i="2"/>
  <c r="BX89" i="2"/>
  <c r="BM89" i="2"/>
  <c r="BM90" i="2"/>
  <c r="BM91" i="2"/>
  <c r="BM92" i="2"/>
  <c r="BM93" i="2"/>
  <c r="BM94" i="2"/>
  <c r="BM95" i="2"/>
  <c r="BM96" i="2"/>
  <c r="BM97" i="2"/>
  <c r="AY90" i="2"/>
  <c r="AY91" i="2"/>
  <c r="AY92" i="2"/>
  <c r="AY93" i="2"/>
  <c r="AY94" i="2"/>
  <c r="AY95" i="2"/>
  <c r="AY96" i="2"/>
  <c r="AY97" i="2"/>
  <c r="AY89" i="2"/>
  <c r="AK90" i="2"/>
  <c r="AK91" i="2"/>
  <c r="AK92" i="2"/>
  <c r="AK93" i="2"/>
  <c r="AK94" i="2"/>
  <c r="AK95" i="2"/>
  <c r="AK96" i="2"/>
  <c r="AK97" i="2"/>
  <c r="AK89" i="2"/>
  <c r="W90" i="2"/>
  <c r="W91" i="2"/>
  <c r="W92" i="2"/>
  <c r="W93" i="2"/>
  <c r="W94" i="2"/>
  <c r="W95" i="2"/>
  <c r="W96" i="2"/>
  <c r="W97" i="2"/>
  <c r="W89" i="2"/>
  <c r="CC32" i="2"/>
  <c r="CC33" i="2"/>
  <c r="CC34" i="2"/>
  <c r="CC35" i="2"/>
  <c r="CC36" i="2"/>
  <c r="CC37" i="2"/>
  <c r="CC31" i="2"/>
  <c r="BR33" i="2"/>
  <c r="BR31" i="2"/>
  <c r="BR32" i="2"/>
  <c r="BR34" i="2"/>
  <c r="BR35" i="2"/>
  <c r="BR36" i="2"/>
  <c r="BR37" i="2"/>
  <c r="BD32" i="2"/>
  <c r="BD33" i="2"/>
  <c r="BD34" i="2"/>
  <c r="BD35" i="2"/>
  <c r="BD36" i="2"/>
  <c r="BD37" i="2"/>
  <c r="BD38" i="2"/>
  <c r="AY32" i="2"/>
  <c r="AP37" i="2"/>
  <c r="AP33" i="2"/>
  <c r="AP34" i="2"/>
  <c r="AP35" i="2"/>
  <c r="AP36" i="2"/>
  <c r="AP38" i="2"/>
  <c r="AP32" i="2"/>
  <c r="AB33" i="2"/>
  <c r="BX31" i="2"/>
  <c r="BX32" i="2"/>
  <c r="BX33" i="2"/>
  <c r="BX34" i="2"/>
  <c r="BX35" i="2"/>
  <c r="BX36" i="2"/>
  <c r="BX37" i="2"/>
  <c r="BX38" i="2"/>
  <c r="BX39" i="2"/>
  <c r="CD37" i="2"/>
  <c r="CD36" i="2"/>
  <c r="CD35" i="2"/>
  <c r="CD34" i="2"/>
  <c r="CD33" i="2"/>
  <c r="CD32" i="2"/>
  <c r="BM32" i="2"/>
  <c r="BM31" i="2"/>
  <c r="BM33" i="2"/>
  <c r="BM34" i="2"/>
  <c r="BM35" i="2"/>
  <c r="BM36" i="2"/>
  <c r="BM37" i="2"/>
  <c r="BM38" i="2"/>
  <c r="BM39" i="2"/>
  <c r="BS37" i="2"/>
  <c r="BS36" i="2"/>
  <c r="BS35" i="2"/>
  <c r="BS34" i="2"/>
  <c r="BS33" i="2"/>
  <c r="BS32" i="2"/>
  <c r="AY39" i="2"/>
  <c r="H33" i="2"/>
  <c r="AY33" i="2"/>
  <c r="AY34" i="2"/>
  <c r="AY35" i="2"/>
  <c r="AY36" i="2"/>
  <c r="AY37" i="2"/>
  <c r="AY38" i="2"/>
  <c r="AY40" i="2"/>
  <c r="BE38" i="2"/>
  <c r="BE37" i="2"/>
  <c r="BE36" i="2"/>
  <c r="BE35" i="2"/>
  <c r="BE34" i="2"/>
  <c r="BE33" i="2"/>
  <c r="AK38" i="2"/>
  <c r="AK33" i="2"/>
  <c r="AK34" i="2"/>
  <c r="AK35" i="2"/>
  <c r="AK36" i="2"/>
  <c r="AK37" i="2"/>
  <c r="AK39" i="2"/>
  <c r="AK40" i="2"/>
  <c r="AK32" i="2"/>
  <c r="AQ38" i="2"/>
  <c r="AQ37" i="2"/>
  <c r="AQ36" i="2"/>
  <c r="AQ35" i="2"/>
  <c r="AQ34" i="2"/>
  <c r="AQ33" i="2"/>
  <c r="AB34" i="2"/>
  <c r="AB35" i="2"/>
  <c r="AB36" i="2"/>
  <c r="AB37" i="2"/>
  <c r="AB38" i="2"/>
  <c r="AB39" i="2"/>
  <c r="W34" i="2"/>
  <c r="W35" i="2"/>
  <c r="W36" i="2"/>
  <c r="W37" i="2"/>
  <c r="W38" i="2"/>
  <c r="W39" i="2"/>
  <c r="W40" i="2"/>
  <c r="W41" i="2"/>
  <c r="W33" i="2"/>
  <c r="AC39" i="2"/>
  <c r="AC38" i="2"/>
  <c r="AC37" i="2"/>
  <c r="AC36" i="2"/>
  <c r="AC35" i="2"/>
  <c r="AC34" i="2"/>
  <c r="H37" i="2"/>
  <c r="H34" i="2"/>
  <c r="H35" i="2"/>
  <c r="H36" i="2"/>
  <c r="H38" i="2"/>
  <c r="H39" i="2"/>
  <c r="H40" i="2"/>
  <c r="H41" i="2"/>
  <c r="H162" i="2"/>
  <c r="H163" i="2"/>
  <c r="H164" i="2"/>
  <c r="H165" i="2"/>
  <c r="H166" i="2"/>
  <c r="H167" i="2"/>
  <c r="H168" i="2"/>
  <c r="I162" i="2"/>
  <c r="I163" i="2"/>
  <c r="I164" i="2"/>
  <c r="I165" i="2"/>
  <c r="I166" i="2"/>
  <c r="I167" i="2"/>
  <c r="I168" i="2"/>
  <c r="M119" i="2"/>
  <c r="I113" i="2"/>
  <c r="M122" i="2"/>
  <c r="H119" i="2"/>
  <c r="H88" i="2"/>
  <c r="M121" i="2"/>
  <c r="M120" i="2"/>
  <c r="M123" i="2"/>
  <c r="M124" i="2"/>
  <c r="M125" i="2"/>
  <c r="M126" i="2"/>
  <c r="H89" i="2"/>
  <c r="H90" i="2"/>
  <c r="H91" i="2"/>
  <c r="H92" i="2"/>
  <c r="H93" i="2"/>
  <c r="H94" i="2"/>
  <c r="H95" i="2"/>
  <c r="H96" i="2"/>
  <c r="M34" i="2"/>
  <c r="M35" i="2"/>
  <c r="M36" i="2"/>
  <c r="M37" i="2"/>
  <c r="M38" i="2"/>
  <c r="M39" i="2"/>
  <c r="N34" i="2"/>
  <c r="N35" i="2"/>
  <c r="N36" i="2"/>
  <c r="N37" i="2"/>
  <c r="N38" i="2"/>
  <c r="N39" i="2"/>
  <c r="I88" i="2" l="1"/>
  <c r="H100" i="2" s="1"/>
  <c r="X33" i="2"/>
  <c r="X89" i="2"/>
  <c r="W101" i="2" s="1"/>
  <c r="AC119" i="2"/>
  <c r="X161" i="2"/>
  <c r="Y188" i="2" s="1"/>
  <c r="X119" i="2"/>
  <c r="X137" i="2" s="1"/>
  <c r="I119" i="2"/>
  <c r="I145" i="2" s="1"/>
  <c r="I161" i="2"/>
  <c r="J171" i="2" s="1"/>
  <c r="N33" i="2"/>
  <c r="H78" i="2" s="1"/>
  <c r="I33" i="2"/>
  <c r="K48" i="2" s="1"/>
  <c r="N119" i="2"/>
  <c r="AZ161" i="2"/>
  <c r="BA188" i="2" s="1"/>
  <c r="BY161" i="2"/>
  <c r="BZ183" i="2" s="1"/>
  <c r="CD31" i="2"/>
  <c r="BX78" i="2" s="1"/>
  <c r="BY31" i="2"/>
  <c r="BN161" i="2"/>
  <c r="BO171" i="2" s="1"/>
  <c r="BN31" i="2"/>
  <c r="BS119" i="2"/>
  <c r="BN89" i="2"/>
  <c r="BM100" i="2" s="1"/>
  <c r="AZ152" i="2"/>
  <c r="AZ145" i="2"/>
  <c r="BN145" i="2"/>
  <c r="BN130" i="2"/>
  <c r="BN152" i="2"/>
  <c r="BN137" i="2"/>
  <c r="BY130" i="2"/>
  <c r="BY152" i="2"/>
  <c r="BY137" i="2"/>
  <c r="AQ32" i="2"/>
  <c r="AK68" i="2" s="1"/>
  <c r="BY89" i="2"/>
  <c r="CD119" i="2"/>
  <c r="BY149" i="2" s="1"/>
  <c r="AL89" i="2"/>
  <c r="AK113" i="2" s="1"/>
  <c r="BE119" i="2"/>
  <c r="AL161" i="2"/>
  <c r="AM183" i="2" s="1"/>
  <c r="AZ32" i="2"/>
  <c r="BE32" i="2"/>
  <c r="AY58" i="2" s="1"/>
  <c r="AZ89" i="2"/>
  <c r="AY113" i="2" s="1"/>
  <c r="AZ137" i="2"/>
  <c r="AZ130" i="2"/>
  <c r="AQ119" i="2"/>
  <c r="AL32" i="2"/>
  <c r="AL152" i="2"/>
  <c r="AL145" i="2"/>
  <c r="AL137" i="2"/>
  <c r="AL130" i="2"/>
  <c r="AC33" i="2"/>
  <c r="BS31" i="2"/>
  <c r="Y23" i="2"/>
  <c r="AM23" i="2"/>
  <c r="BA23" i="2"/>
  <c r="BO23" i="2"/>
  <c r="BZ23" i="2"/>
  <c r="J24" i="2"/>
  <c r="Y24" i="2"/>
  <c r="AM24" i="2"/>
  <c r="BA24" i="2"/>
  <c r="BO24" i="2"/>
  <c r="BZ24" i="2"/>
  <c r="J25" i="2"/>
  <c r="Y25" i="2"/>
  <c r="AM25" i="2"/>
  <c r="BA25" i="2"/>
  <c r="BO25" i="2"/>
  <c r="BZ25" i="2"/>
  <c r="J26" i="2"/>
  <c r="BA26" i="2"/>
  <c r="BO26" i="2"/>
  <c r="BZ26" i="2"/>
  <c r="I47" i="2"/>
  <c r="X47" i="2"/>
  <c r="AL47" i="2"/>
  <c r="AZ47" i="2"/>
  <c r="BN47" i="2"/>
  <c r="BY47" i="2"/>
  <c r="I48" i="2"/>
  <c r="X48" i="2"/>
  <c r="AL48" i="2"/>
  <c r="AZ48" i="2"/>
  <c r="BN48" i="2"/>
  <c r="BY48" i="2"/>
  <c r="I49" i="2"/>
  <c r="X49" i="2"/>
  <c r="AL49" i="2"/>
  <c r="AN49" i="2"/>
  <c r="AZ49" i="2"/>
  <c r="BB49" i="2"/>
  <c r="BN49" i="2"/>
  <c r="BP49" i="2"/>
  <c r="BY49" i="2"/>
  <c r="CA49" i="2"/>
  <c r="I50" i="2"/>
  <c r="K50" i="2"/>
  <c r="X50" i="2"/>
  <c r="Z50" i="2"/>
  <c r="AL50" i="2"/>
  <c r="AN50" i="2"/>
  <c r="AZ50" i="2"/>
  <c r="BB50" i="2"/>
  <c r="BN50" i="2"/>
  <c r="BP50" i="2"/>
  <c r="BY50" i="2"/>
  <c r="CA50" i="2"/>
  <c r="I51" i="2"/>
  <c r="K51" i="2"/>
  <c r="X51" i="2"/>
  <c r="Z51" i="2"/>
  <c r="AL51" i="2"/>
  <c r="AN51" i="2"/>
  <c r="AZ51" i="2"/>
  <c r="BB51" i="2"/>
  <c r="BN51" i="2"/>
  <c r="BP51" i="2"/>
  <c r="BY51" i="2"/>
  <c r="CA51" i="2"/>
  <c r="I52" i="2"/>
  <c r="K52" i="2"/>
  <c r="X52" i="2"/>
  <c r="Z52" i="2"/>
  <c r="AL52" i="2"/>
  <c r="AN52" i="2"/>
  <c r="AZ52" i="2"/>
  <c r="BB52" i="2"/>
  <c r="BN52" i="2"/>
  <c r="BP52" i="2"/>
  <c r="BY52" i="2"/>
  <c r="CA52" i="2"/>
  <c r="I56" i="2"/>
  <c r="X56" i="2"/>
  <c r="AL56" i="2"/>
  <c r="AZ56" i="2"/>
  <c r="BN56" i="2"/>
  <c r="BY56" i="2"/>
  <c r="I57" i="2"/>
  <c r="X57" i="2"/>
  <c r="AL57" i="2"/>
  <c r="AZ57" i="2"/>
  <c r="BN57" i="2"/>
  <c r="BY57" i="2"/>
  <c r="I58" i="2"/>
  <c r="K58" i="2"/>
  <c r="X58" i="2"/>
  <c r="Z58" i="2"/>
  <c r="AL58" i="2"/>
  <c r="AN58" i="2"/>
  <c r="AZ58" i="2"/>
  <c r="BB58" i="2"/>
  <c r="BN58" i="2"/>
  <c r="BP58" i="2"/>
  <c r="BY58" i="2"/>
  <c r="CA58" i="2"/>
  <c r="K59" i="2"/>
  <c r="X59" i="2"/>
  <c r="Z59" i="2"/>
  <c r="AL59" i="2"/>
  <c r="AN59" i="2"/>
  <c r="AZ59" i="2"/>
  <c r="BB59" i="2"/>
  <c r="BN59" i="2"/>
  <c r="BP59" i="2"/>
  <c r="BY59" i="2"/>
  <c r="CA59" i="2"/>
  <c r="I60" i="2"/>
  <c r="K60" i="2"/>
  <c r="X60" i="2"/>
  <c r="Z60" i="2"/>
  <c r="AL60" i="2"/>
  <c r="AN60" i="2"/>
  <c r="AZ60" i="2"/>
  <c r="BB60" i="2"/>
  <c r="BN60" i="2"/>
  <c r="BP60" i="2"/>
  <c r="BY60" i="2"/>
  <c r="CA60" i="2"/>
  <c r="I61" i="2"/>
  <c r="K61" i="2"/>
  <c r="X61" i="2"/>
  <c r="Z61" i="2"/>
  <c r="AL61" i="2"/>
  <c r="AN61" i="2"/>
  <c r="AZ61" i="2"/>
  <c r="BB61" i="2"/>
  <c r="BN61" i="2"/>
  <c r="BP61" i="2"/>
  <c r="BY61" i="2"/>
  <c r="CA61" i="2"/>
  <c r="I66" i="2"/>
  <c r="J59" i="2" s="1"/>
  <c r="X66" i="2"/>
  <c r="AL66" i="2"/>
  <c r="AZ66" i="2"/>
  <c r="BN66" i="2"/>
  <c r="BY66" i="2"/>
  <c r="I67" i="2"/>
  <c r="X67" i="2"/>
  <c r="AL67" i="2"/>
  <c r="AZ67" i="2"/>
  <c r="BN67" i="2"/>
  <c r="BY67" i="2"/>
  <c r="I68" i="2"/>
  <c r="K68" i="2"/>
  <c r="X68" i="2"/>
  <c r="Z68" i="2"/>
  <c r="AL68" i="2"/>
  <c r="AN68" i="2"/>
  <c r="AZ68" i="2"/>
  <c r="BB68" i="2"/>
  <c r="BN68" i="2"/>
  <c r="BP68" i="2"/>
  <c r="BY68" i="2"/>
  <c r="CA68" i="2"/>
  <c r="I69" i="2"/>
  <c r="K69" i="2"/>
  <c r="X69" i="2"/>
  <c r="Z69" i="2"/>
  <c r="AL69" i="2"/>
  <c r="AN69" i="2"/>
  <c r="AZ69" i="2"/>
  <c r="BB69" i="2"/>
  <c r="BN69" i="2"/>
  <c r="BP69" i="2"/>
  <c r="BY69" i="2"/>
  <c r="CA69" i="2"/>
  <c r="I70" i="2"/>
  <c r="K70" i="2"/>
  <c r="X70" i="2"/>
  <c r="Z70" i="2"/>
  <c r="AL70" i="2"/>
  <c r="AN70" i="2"/>
  <c r="AZ70" i="2"/>
  <c r="BB70" i="2"/>
  <c r="BN70" i="2"/>
  <c r="BP70" i="2"/>
  <c r="BY70" i="2"/>
  <c r="CA70" i="2"/>
  <c r="I71" i="2"/>
  <c r="K71" i="2"/>
  <c r="X71" i="2"/>
  <c r="Z71" i="2"/>
  <c r="AL71" i="2"/>
  <c r="AN71" i="2"/>
  <c r="AZ71" i="2"/>
  <c r="BB71" i="2"/>
  <c r="BN71" i="2"/>
  <c r="BP71" i="2"/>
  <c r="BY71" i="2"/>
  <c r="CA71" i="2"/>
  <c r="I76" i="2"/>
  <c r="X76" i="2"/>
  <c r="AL76" i="2"/>
  <c r="AZ76" i="2"/>
  <c r="BN76" i="2"/>
  <c r="BY76" i="2"/>
  <c r="I77" i="2"/>
  <c r="X77" i="2"/>
  <c r="AL77" i="2"/>
  <c r="AZ77" i="2"/>
  <c r="BN77" i="2"/>
  <c r="BY77" i="2"/>
  <c r="I78" i="2"/>
  <c r="K78" i="2"/>
  <c r="X78" i="2"/>
  <c r="Z78" i="2"/>
  <c r="AL78" i="2"/>
  <c r="AN78" i="2"/>
  <c r="AZ78" i="2"/>
  <c r="BB78" i="2"/>
  <c r="BN78" i="2"/>
  <c r="BP78" i="2"/>
  <c r="BY78" i="2"/>
  <c r="CA78" i="2"/>
  <c r="I79" i="2"/>
  <c r="K79" i="2"/>
  <c r="X79" i="2"/>
  <c r="Z79" i="2"/>
  <c r="AL79" i="2"/>
  <c r="AN79" i="2"/>
  <c r="AZ79" i="2"/>
  <c r="BB79" i="2"/>
  <c r="BN79" i="2"/>
  <c r="BP79" i="2"/>
  <c r="BY79" i="2"/>
  <c r="CA79" i="2"/>
  <c r="I80" i="2"/>
  <c r="K80" i="2"/>
  <c r="X80" i="2"/>
  <c r="Z80" i="2"/>
  <c r="AL80" i="2"/>
  <c r="AN80" i="2"/>
  <c r="AZ80" i="2"/>
  <c r="BB80" i="2"/>
  <c r="BN80" i="2"/>
  <c r="BP80" i="2"/>
  <c r="BY80" i="2"/>
  <c r="CA80" i="2"/>
  <c r="I81" i="2"/>
  <c r="J79" i="2" s="1"/>
  <c r="K81" i="2"/>
  <c r="X81" i="2"/>
  <c r="Y81" i="2" s="1"/>
  <c r="AA80" i="2" s="1"/>
  <c r="Z81" i="2"/>
  <c r="AL81" i="2"/>
  <c r="AM79" i="2" s="1"/>
  <c r="AN81" i="2"/>
  <c r="AZ81" i="2"/>
  <c r="BA81" i="2" s="1"/>
  <c r="BB81" i="2"/>
  <c r="BN81" i="2"/>
  <c r="BO79" i="2" s="1"/>
  <c r="BP81" i="2"/>
  <c r="BY81" i="2"/>
  <c r="BZ81" i="2" s="1"/>
  <c r="CB79" i="2" s="1"/>
  <c r="CA81" i="2"/>
  <c r="I100" i="2"/>
  <c r="X100" i="2"/>
  <c r="AL100" i="2"/>
  <c r="AZ100" i="2"/>
  <c r="BN100" i="2"/>
  <c r="BY100" i="2"/>
  <c r="I101" i="2"/>
  <c r="X101" i="2"/>
  <c r="AL101" i="2"/>
  <c r="AZ101" i="2"/>
  <c r="BN101" i="2"/>
  <c r="BY101" i="2"/>
  <c r="I104" i="2"/>
  <c r="X104" i="2"/>
  <c r="AL104" i="2"/>
  <c r="AZ104" i="2"/>
  <c r="BN104" i="2"/>
  <c r="BY104" i="2"/>
  <c r="I105" i="2"/>
  <c r="X105" i="2"/>
  <c r="AL105" i="2"/>
  <c r="AZ105" i="2"/>
  <c r="BN105" i="2"/>
  <c r="BY105" i="2"/>
  <c r="I109" i="2"/>
  <c r="X109" i="2"/>
  <c r="AL109" i="2"/>
  <c r="AZ109" i="2"/>
  <c r="BN109" i="2"/>
  <c r="BY109" i="2"/>
  <c r="I110" i="2"/>
  <c r="X110" i="2"/>
  <c r="AL110" i="2"/>
  <c r="AZ110" i="2"/>
  <c r="BN110" i="2"/>
  <c r="BY110" i="2"/>
  <c r="X113" i="2"/>
  <c r="AL113" i="2"/>
  <c r="AZ113" i="2"/>
  <c r="BN113" i="2"/>
  <c r="BY113" i="2"/>
  <c r="I114" i="2"/>
  <c r="X114" i="2"/>
  <c r="AL114" i="2"/>
  <c r="AZ114" i="2"/>
  <c r="BN114" i="2"/>
  <c r="BY114" i="2"/>
  <c r="J130" i="2"/>
  <c r="Y130" i="2"/>
  <c r="AM130" i="2"/>
  <c r="BA130" i="2"/>
  <c r="BO130" i="2"/>
  <c r="BZ130" i="2"/>
  <c r="J131" i="2"/>
  <c r="Y131" i="2"/>
  <c r="AM131" i="2"/>
  <c r="BA131" i="2"/>
  <c r="BO131" i="2"/>
  <c r="BZ131" i="2"/>
  <c r="J132" i="2"/>
  <c r="Y132" i="2"/>
  <c r="AM132" i="2"/>
  <c r="BA132" i="2"/>
  <c r="BO132" i="2"/>
  <c r="BZ132" i="2"/>
  <c r="J133" i="2"/>
  <c r="Y133" i="2"/>
  <c r="AM133" i="2"/>
  <c r="BA133" i="2"/>
  <c r="BO133" i="2"/>
  <c r="BZ133" i="2"/>
  <c r="J134" i="2"/>
  <c r="Y134" i="2"/>
  <c r="AM134" i="2"/>
  <c r="BA134" i="2"/>
  <c r="BO134" i="2"/>
  <c r="BZ134" i="2"/>
  <c r="J137" i="2"/>
  <c r="Y137" i="2"/>
  <c r="AM137" i="2"/>
  <c r="BA137" i="2"/>
  <c r="BO137" i="2"/>
  <c r="BZ137" i="2"/>
  <c r="J138" i="2"/>
  <c r="Y138" i="2"/>
  <c r="AM138" i="2"/>
  <c r="BA138" i="2"/>
  <c r="BO138" i="2"/>
  <c r="BZ138" i="2"/>
  <c r="J139" i="2"/>
  <c r="Y139" i="2"/>
  <c r="AM139" i="2"/>
  <c r="BA139" i="2"/>
  <c r="BO139" i="2"/>
  <c r="BZ139" i="2"/>
  <c r="J140" i="2"/>
  <c r="Y140" i="2"/>
  <c r="AM140" i="2"/>
  <c r="BA140" i="2"/>
  <c r="BO140" i="2"/>
  <c r="BZ140" i="2"/>
  <c r="J141" i="2"/>
  <c r="Y141" i="2"/>
  <c r="AM141" i="2"/>
  <c r="BA141" i="2"/>
  <c r="BO141" i="2"/>
  <c r="BZ141" i="2"/>
  <c r="J145" i="2"/>
  <c r="Y145" i="2"/>
  <c r="AM145" i="2"/>
  <c r="BA145" i="2"/>
  <c r="BO145" i="2"/>
  <c r="BZ145" i="2"/>
  <c r="J146" i="2"/>
  <c r="Y146" i="2"/>
  <c r="AM146" i="2"/>
  <c r="BA146" i="2"/>
  <c r="BO146" i="2"/>
  <c r="BZ146" i="2"/>
  <c r="J147" i="2"/>
  <c r="Y147" i="2"/>
  <c r="AM147" i="2"/>
  <c r="BA147" i="2"/>
  <c r="BO147" i="2"/>
  <c r="BZ147" i="2"/>
  <c r="J148" i="2"/>
  <c r="Y148" i="2"/>
  <c r="AM148" i="2"/>
  <c r="BA148" i="2"/>
  <c r="BO148" i="2"/>
  <c r="BZ148" i="2"/>
  <c r="J149" i="2"/>
  <c r="Y149" i="2"/>
  <c r="AM149" i="2"/>
  <c r="BA149" i="2"/>
  <c r="BO149" i="2"/>
  <c r="BZ149" i="2"/>
  <c r="J152" i="2"/>
  <c r="Y152" i="2"/>
  <c r="AM152" i="2"/>
  <c r="BA152" i="2"/>
  <c r="BO152" i="2"/>
  <c r="BZ152" i="2"/>
  <c r="J153" i="2"/>
  <c r="Y153" i="2"/>
  <c r="AM153" i="2"/>
  <c r="BA153" i="2"/>
  <c r="BO153" i="2"/>
  <c r="BZ153" i="2"/>
  <c r="J154" i="2"/>
  <c r="Y154" i="2"/>
  <c r="AM154" i="2"/>
  <c r="BA154" i="2"/>
  <c r="BO154" i="2"/>
  <c r="BZ154" i="2"/>
  <c r="J155" i="2"/>
  <c r="Y155" i="2"/>
  <c r="AM155" i="2"/>
  <c r="BA155" i="2"/>
  <c r="BO155" i="2"/>
  <c r="BZ155" i="2"/>
  <c r="J156" i="2"/>
  <c r="Y156" i="2"/>
  <c r="AM156" i="2"/>
  <c r="BA156" i="2"/>
  <c r="BO156" i="2"/>
  <c r="BZ156" i="2"/>
  <c r="K170" i="2"/>
  <c r="Z170" i="2"/>
  <c r="AN170" i="2"/>
  <c r="BB170" i="2"/>
  <c r="BP170" i="2"/>
  <c r="CA170" i="2"/>
  <c r="K171" i="2"/>
  <c r="Z171" i="2"/>
  <c r="AN171" i="2"/>
  <c r="BB171" i="2"/>
  <c r="BP171" i="2"/>
  <c r="CA171" i="2"/>
  <c r="K172" i="2"/>
  <c r="Z172" i="2"/>
  <c r="AN172" i="2"/>
  <c r="BB172" i="2"/>
  <c r="BP172" i="2"/>
  <c r="CA172" i="2"/>
  <c r="K175" i="2"/>
  <c r="Z175" i="2"/>
  <c r="AN175" i="2"/>
  <c r="BB175" i="2"/>
  <c r="BP175" i="2"/>
  <c r="CA175" i="2"/>
  <c r="K176" i="2"/>
  <c r="Z176" i="2"/>
  <c r="AN176" i="2"/>
  <c r="BB176" i="2"/>
  <c r="BP176" i="2"/>
  <c r="CA176" i="2"/>
  <c r="K177" i="2"/>
  <c r="Z177" i="2"/>
  <c r="AN177" i="2"/>
  <c r="BB177" i="2"/>
  <c r="BP177" i="2"/>
  <c r="CA177" i="2"/>
  <c r="K181" i="2"/>
  <c r="Z181" i="2"/>
  <c r="AN181" i="2"/>
  <c r="BB181" i="2"/>
  <c r="BP181" i="2"/>
  <c r="CA181" i="2"/>
  <c r="K182" i="2"/>
  <c r="Z182" i="2"/>
  <c r="AN182" i="2"/>
  <c r="BB182" i="2"/>
  <c r="BP182" i="2"/>
  <c r="CA182" i="2"/>
  <c r="K183" i="2"/>
  <c r="Z183" i="2"/>
  <c r="AN183" i="2"/>
  <c r="BB183" i="2"/>
  <c r="BP183" i="2"/>
  <c r="CA183" i="2"/>
  <c r="K186" i="2"/>
  <c r="Z186" i="2"/>
  <c r="AN186" i="2"/>
  <c r="BB186" i="2"/>
  <c r="BP186" i="2"/>
  <c r="CA186" i="2"/>
  <c r="K187" i="2"/>
  <c r="Z187" i="2"/>
  <c r="AN187" i="2"/>
  <c r="BB187" i="2"/>
  <c r="BP187" i="2"/>
  <c r="CA187" i="2"/>
  <c r="K188" i="2"/>
  <c r="Z188" i="2"/>
  <c r="AN188" i="2"/>
  <c r="BB188" i="2"/>
  <c r="BP188" i="2"/>
  <c r="CA188" i="2"/>
  <c r="J58" i="2" l="1"/>
  <c r="J57" i="2"/>
  <c r="J48" i="2"/>
  <c r="BN146" i="2"/>
  <c r="BN149" i="2"/>
  <c r="AZ131" i="2"/>
  <c r="AZ149" i="2"/>
  <c r="AL132" i="2"/>
  <c r="AL149" i="2"/>
  <c r="X153" i="2"/>
  <c r="X149" i="2"/>
  <c r="I146" i="2"/>
  <c r="I148" i="2"/>
  <c r="I149" i="2"/>
  <c r="I152" i="2"/>
  <c r="BA187" i="2"/>
  <c r="AK76" i="2"/>
  <c r="AN77" i="2"/>
  <c r="AN57" i="2"/>
  <c r="AN47" i="2"/>
  <c r="AN76" i="2"/>
  <c r="AN56" i="2"/>
  <c r="AN66" i="2"/>
  <c r="AN67" i="2"/>
  <c r="AN48" i="2"/>
  <c r="Z67" i="2"/>
  <c r="Z48" i="2"/>
  <c r="Z66" i="2"/>
  <c r="Z56" i="2"/>
  <c r="Z77" i="2"/>
  <c r="Z57" i="2"/>
  <c r="Z76" i="2"/>
  <c r="Z47" i="2"/>
  <c r="W77" i="2"/>
  <c r="W76" i="2"/>
  <c r="I137" i="2"/>
  <c r="H47" i="2"/>
  <c r="K47" i="2"/>
  <c r="I130" i="2"/>
  <c r="BX76" i="2"/>
  <c r="CA77" i="2"/>
  <c r="CA57" i="2"/>
  <c r="CA47" i="2"/>
  <c r="CA48" i="2"/>
  <c r="CA76" i="2"/>
  <c r="CA56" i="2"/>
  <c r="CA66" i="2"/>
  <c r="CA67" i="2"/>
  <c r="BM76" i="2"/>
  <c r="BP47" i="2"/>
  <c r="BP67" i="2"/>
  <c r="BP76" i="2"/>
  <c r="BP48" i="2"/>
  <c r="BP77" i="2"/>
  <c r="BP57" i="2"/>
  <c r="BP66" i="2"/>
  <c r="BP56" i="2"/>
  <c r="AY77" i="2"/>
  <c r="BB77" i="2"/>
  <c r="BB57" i="2"/>
  <c r="BB47" i="2"/>
  <c r="BB66" i="2"/>
  <c r="BB76" i="2"/>
  <c r="BB56" i="2"/>
  <c r="BB67" i="2"/>
  <c r="BB48" i="2"/>
  <c r="CA23" i="2"/>
  <c r="CA28" i="2"/>
  <c r="BO182" i="2"/>
  <c r="BO176" i="2"/>
  <c r="BP28" i="2"/>
  <c r="BP23" i="2"/>
  <c r="BA171" i="2"/>
  <c r="BB28" i="2"/>
  <c r="BB23" i="2"/>
  <c r="BA172" i="2"/>
  <c r="BA183" i="2"/>
  <c r="AN23" i="2"/>
  <c r="AN28" i="2"/>
  <c r="X145" i="2"/>
  <c r="X152" i="2"/>
  <c r="X130" i="2"/>
  <c r="BZ176" i="2"/>
  <c r="Z23" i="2"/>
  <c r="Z28" i="2"/>
  <c r="K23" i="2"/>
  <c r="K28" i="2"/>
  <c r="K135" i="2"/>
  <c r="BZ172" i="2"/>
  <c r="AK77" i="2"/>
  <c r="BA182" i="2"/>
  <c r="BA177" i="2"/>
  <c r="BO188" i="2"/>
  <c r="BZ177" i="2"/>
  <c r="AK57" i="2"/>
  <c r="BA176" i="2"/>
  <c r="BZ171" i="2"/>
  <c r="BZ188" i="2"/>
  <c r="X131" i="2"/>
  <c r="AK48" i="2"/>
  <c r="BM57" i="2"/>
  <c r="BM66" i="2"/>
  <c r="W105" i="2"/>
  <c r="AK101" i="2"/>
  <c r="AY66" i="2"/>
  <c r="BZ187" i="2"/>
  <c r="BM67" i="2"/>
  <c r="BN138" i="2"/>
  <c r="BX58" i="2"/>
  <c r="AM172" i="2"/>
  <c r="AK56" i="2"/>
  <c r="AZ147" i="2"/>
  <c r="BX68" i="2"/>
  <c r="BM56" i="2"/>
  <c r="AY110" i="2"/>
  <c r="AY109" i="2"/>
  <c r="W100" i="2"/>
  <c r="AL154" i="2"/>
  <c r="AY68" i="2"/>
  <c r="AZ133" i="2"/>
  <c r="AZ153" i="2"/>
  <c r="BX67" i="2"/>
  <c r="AK78" i="2"/>
  <c r="AY78" i="2"/>
  <c r="AZ141" i="2"/>
  <c r="AZ139" i="2"/>
  <c r="BX49" i="2"/>
  <c r="BX48" i="2"/>
  <c r="X155" i="2"/>
  <c r="AL140" i="2"/>
  <c r="AY48" i="2"/>
  <c r="AZ138" i="2"/>
  <c r="BZ182" i="2"/>
  <c r="BM77" i="2"/>
  <c r="BM48" i="2"/>
  <c r="BX77" i="2"/>
  <c r="W47" i="2"/>
  <c r="AL148" i="2"/>
  <c r="AL138" i="2"/>
  <c r="AM177" i="2"/>
  <c r="AY101" i="2"/>
  <c r="BO172" i="2"/>
  <c r="W57" i="2"/>
  <c r="AL134" i="2"/>
  <c r="AL153" i="2"/>
  <c r="AM176" i="2"/>
  <c r="AM188" i="2"/>
  <c r="AY104" i="2"/>
  <c r="AY114" i="2"/>
  <c r="AZ146" i="2"/>
  <c r="AZ132" i="2"/>
  <c r="AZ148" i="2"/>
  <c r="BO177" i="2"/>
  <c r="BX66" i="2"/>
  <c r="BX56" i="2"/>
  <c r="AM171" i="2"/>
  <c r="AY105" i="2"/>
  <c r="W66" i="2"/>
  <c r="AL141" i="2"/>
  <c r="AL139" i="2"/>
  <c r="AM187" i="2"/>
  <c r="AY100" i="2"/>
  <c r="AY49" i="2"/>
  <c r="AZ134" i="2"/>
  <c r="AZ140" i="2"/>
  <c r="AZ156" i="2"/>
  <c r="BO187" i="2"/>
  <c r="BO183" i="2"/>
  <c r="BX47" i="2"/>
  <c r="BX57" i="2"/>
  <c r="AK49" i="2"/>
  <c r="AK47" i="2"/>
  <c r="AK66" i="2"/>
  <c r="AK58" i="2"/>
  <c r="AK104" i="2"/>
  <c r="AK67" i="2"/>
  <c r="AL155" i="2"/>
  <c r="AL131" i="2"/>
  <c r="AL147" i="2"/>
  <c r="AM182" i="2"/>
  <c r="BM101" i="2"/>
  <c r="BN148" i="2"/>
  <c r="BN140" i="2"/>
  <c r="BN147" i="2"/>
  <c r="BM105" i="2"/>
  <c r="BN141" i="2"/>
  <c r="BN139" i="2"/>
  <c r="BM104" i="2"/>
  <c r="BM110" i="2"/>
  <c r="BN155" i="2"/>
  <c r="BN156" i="2"/>
  <c r="BN153" i="2"/>
  <c r="BN154" i="2"/>
  <c r="BM109" i="2"/>
  <c r="BM114" i="2"/>
  <c r="BN132" i="2"/>
  <c r="BN133" i="2"/>
  <c r="BN134" i="2"/>
  <c r="BN131" i="2"/>
  <c r="BM113" i="2"/>
  <c r="BM47" i="2"/>
  <c r="BY153" i="2"/>
  <c r="BY148" i="2"/>
  <c r="BY139" i="2"/>
  <c r="BY134" i="2"/>
  <c r="BY156" i="2"/>
  <c r="BY147" i="2"/>
  <c r="BY138" i="2"/>
  <c r="BY133" i="2"/>
  <c r="BY155" i="2"/>
  <c r="BY146" i="2"/>
  <c r="BY141" i="2"/>
  <c r="BY132" i="2"/>
  <c r="BY140" i="2"/>
  <c r="BY154" i="2"/>
  <c r="BY131" i="2"/>
  <c r="W104" i="2"/>
  <c r="W114" i="2"/>
  <c r="AK100" i="2"/>
  <c r="AK114" i="2"/>
  <c r="AY67" i="2"/>
  <c r="BM68" i="2"/>
  <c r="BM78" i="2"/>
  <c r="BM58" i="2"/>
  <c r="BM49" i="2"/>
  <c r="W109" i="2"/>
  <c r="W113" i="2"/>
  <c r="W67" i="2"/>
  <c r="W56" i="2"/>
  <c r="AK110" i="2"/>
  <c r="AL133" i="2"/>
  <c r="AL146" i="2"/>
  <c r="AL156" i="2"/>
  <c r="AY47" i="2"/>
  <c r="AY76" i="2"/>
  <c r="AZ154" i="2"/>
  <c r="AZ155" i="2"/>
  <c r="AY56" i="2"/>
  <c r="BX113" i="2"/>
  <c r="BX109" i="2"/>
  <c r="BX104" i="2"/>
  <c r="BX101" i="2"/>
  <c r="BX100" i="2"/>
  <c r="BX110" i="2"/>
  <c r="BX105" i="2"/>
  <c r="BX114" i="2"/>
  <c r="W110" i="2"/>
  <c r="W48" i="2"/>
  <c r="AK109" i="2"/>
  <c r="AK105" i="2"/>
  <c r="AY57" i="2"/>
  <c r="X134" i="2"/>
  <c r="X140" i="2"/>
  <c r="H113" i="2"/>
  <c r="H104" i="2"/>
  <c r="X154" i="2"/>
  <c r="X139" i="2"/>
  <c r="Y172" i="2"/>
  <c r="X132" i="2"/>
  <c r="X146" i="2"/>
  <c r="Y187" i="2"/>
  <c r="Y182" i="2"/>
  <c r="X138" i="2"/>
  <c r="X141" i="2"/>
  <c r="X156" i="2"/>
  <c r="X147" i="2"/>
  <c r="Y171" i="2"/>
  <c r="Y177" i="2"/>
  <c r="Y183" i="2"/>
  <c r="X133" i="2"/>
  <c r="X148" i="2"/>
  <c r="Y176" i="2"/>
  <c r="W58" i="2"/>
  <c r="W49" i="2"/>
  <c r="W68" i="2"/>
  <c r="W78" i="2"/>
  <c r="H77" i="2"/>
  <c r="K76" i="2"/>
  <c r="K56" i="2"/>
  <c r="K66" i="2"/>
  <c r="K77" i="2"/>
  <c r="K57" i="2"/>
  <c r="K67" i="2"/>
  <c r="J172" i="2"/>
  <c r="H56" i="2"/>
  <c r="H66" i="2"/>
  <c r="H67" i="2"/>
  <c r="H76" i="2"/>
  <c r="J183" i="2"/>
  <c r="J177" i="2"/>
  <c r="J187" i="2"/>
  <c r="H57" i="2"/>
  <c r="J182" i="2"/>
  <c r="H48" i="2"/>
  <c r="J176" i="2"/>
  <c r="J188" i="2"/>
  <c r="I154" i="2"/>
  <c r="I155" i="2"/>
  <c r="I153" i="2"/>
  <c r="I134" i="2"/>
  <c r="I156" i="2"/>
  <c r="I140" i="2"/>
  <c r="I147" i="2"/>
  <c r="I139" i="2"/>
  <c r="I131" i="2"/>
  <c r="I141" i="2"/>
  <c r="I133" i="2"/>
  <c r="I132" i="2"/>
  <c r="I138" i="2"/>
  <c r="H114" i="2"/>
  <c r="H105" i="2"/>
  <c r="H110" i="2"/>
  <c r="H101" i="2"/>
  <c r="H109" i="2"/>
  <c r="H49" i="2"/>
  <c r="H68" i="2"/>
  <c r="J47" i="2"/>
  <c r="H58" i="2"/>
  <c r="Y114" i="2"/>
  <c r="BO101" i="2"/>
  <c r="BO80" i="2"/>
  <c r="Z146" i="2"/>
  <c r="BQ176" i="2"/>
  <c r="BQ181" i="2"/>
  <c r="AO171" i="2"/>
  <c r="BQ172" i="2"/>
  <c r="J114" i="2"/>
  <c r="AM110" i="2"/>
  <c r="BO109" i="2"/>
  <c r="J104" i="2"/>
  <c r="CA26" i="2"/>
  <c r="CA146" i="2"/>
  <c r="BZ47" i="2"/>
  <c r="Y49" i="2"/>
  <c r="BZ104" i="2"/>
  <c r="Y100" i="2"/>
  <c r="AN145" i="2"/>
  <c r="BB26" i="2"/>
  <c r="BC186" i="2"/>
  <c r="BC182" i="2"/>
  <c r="Z25" i="2"/>
  <c r="CA148" i="2"/>
  <c r="BZ110" i="2"/>
  <c r="BP26" i="2"/>
  <c r="AA187" i="2"/>
  <c r="CB187" i="2"/>
  <c r="AN156" i="2"/>
  <c r="BP155" i="2"/>
  <c r="BP141" i="2"/>
  <c r="AN140" i="2"/>
  <c r="AN134" i="2"/>
  <c r="AM113" i="2"/>
  <c r="BO110" i="2"/>
  <c r="Y105" i="2"/>
  <c r="AM101" i="2"/>
  <c r="BO100" i="2"/>
  <c r="BB25" i="2"/>
  <c r="Z24" i="2"/>
  <c r="BC188" i="2"/>
  <c r="CB183" i="2"/>
  <c r="AO188" i="2"/>
  <c r="BQ170" i="2"/>
  <c r="BQ186" i="2"/>
  <c r="L186" i="2"/>
  <c r="AO182" i="2"/>
  <c r="Z148" i="2"/>
  <c r="AM104" i="2"/>
  <c r="Y52" i="2"/>
  <c r="AB50" i="2" s="1"/>
  <c r="L181" i="2"/>
  <c r="L176" i="2"/>
  <c r="J105" i="2"/>
  <c r="K132" i="2"/>
  <c r="L188" i="2"/>
  <c r="J113" i="2"/>
  <c r="L113" i="2" s="1"/>
  <c r="L171" i="2"/>
  <c r="L170" i="2"/>
  <c r="N171" i="2" s="1"/>
  <c r="L172" i="2"/>
  <c r="K155" i="2"/>
  <c r="K153" i="2"/>
  <c r="AN153" i="2"/>
  <c r="AN154" i="2"/>
  <c r="BP153" i="2"/>
  <c r="BB147" i="2"/>
  <c r="BB149" i="2"/>
  <c r="AA183" i="2"/>
  <c r="AO186" i="2"/>
  <c r="AO175" i="2"/>
  <c r="AO177" i="2"/>
  <c r="AN137" i="2"/>
  <c r="BP134" i="2"/>
  <c r="AN131" i="2"/>
  <c r="K130" i="2"/>
  <c r="BO113" i="2"/>
  <c r="AM109" i="2"/>
  <c r="J100" i="2"/>
  <c r="BA69" i="2"/>
  <c r="BA68" i="2"/>
  <c r="BA59" i="2"/>
  <c r="BZ58" i="2"/>
  <c r="BA58" i="2"/>
  <c r="BA57" i="2"/>
  <c r="BC176" i="2"/>
  <c r="K152" i="2"/>
  <c r="Z145" i="2"/>
  <c r="Y110" i="2"/>
  <c r="Y101" i="2"/>
  <c r="Y56" i="2"/>
  <c r="BA50" i="2"/>
  <c r="Z26" i="2"/>
  <c r="CA24" i="2"/>
  <c r="K25" i="2"/>
  <c r="AA175" i="2"/>
  <c r="AO170" i="2"/>
  <c r="BP152" i="2"/>
  <c r="K139" i="2"/>
  <c r="BP138" i="2"/>
  <c r="BP137" i="2"/>
  <c r="K133" i="2"/>
  <c r="BP131" i="2"/>
  <c r="AN130" i="2"/>
  <c r="J109" i="2"/>
  <c r="BO104" i="2"/>
  <c r="AM100" i="2"/>
  <c r="BA78" i="2"/>
  <c r="Y78" i="2"/>
  <c r="Y69" i="2"/>
  <c r="BZ68" i="2"/>
  <c r="Y68" i="2"/>
  <c r="Y59" i="2"/>
  <c r="Y58" i="2"/>
  <c r="Y57" i="2"/>
  <c r="BA56" i="2"/>
  <c r="CA25" i="2"/>
  <c r="BB24" i="2"/>
  <c r="BQ188" i="2"/>
  <c r="BQ182" i="2"/>
  <c r="BQ171" i="2"/>
  <c r="K146" i="2"/>
  <c r="K141" i="2"/>
  <c r="BP139" i="2"/>
  <c r="AN138" i="2"/>
  <c r="K138" i="2"/>
  <c r="K137" i="2"/>
  <c r="M139" i="2" s="1"/>
  <c r="BP133" i="2"/>
  <c r="AN132" i="2"/>
  <c r="K131" i="2"/>
  <c r="BP130" i="2"/>
  <c r="BO114" i="2"/>
  <c r="AM114" i="2"/>
  <c r="J110" i="2"/>
  <c r="BO105" i="2"/>
  <c r="AM105" i="2"/>
  <c r="J101" i="2"/>
  <c r="AA79" i="2"/>
  <c r="Y50" i="2"/>
  <c r="BA47" i="2"/>
  <c r="BO47" i="2"/>
  <c r="AN26" i="2"/>
  <c r="BZ105" i="2"/>
  <c r="CB175" i="2"/>
  <c r="BZ69" i="2"/>
  <c r="BZ67" i="2"/>
  <c r="BZ59" i="2"/>
  <c r="BZ57" i="2"/>
  <c r="BZ56" i="2"/>
  <c r="BZ114" i="2"/>
  <c r="BZ52" i="2"/>
  <c r="CB52" i="2" s="1"/>
  <c r="BZ48" i="2"/>
  <c r="BZ101" i="2"/>
  <c r="BC171" i="2"/>
  <c r="CA155" i="2"/>
  <c r="CA152" i="2"/>
  <c r="CA154" i="2"/>
  <c r="CA156" i="2"/>
  <c r="CA153" i="2"/>
  <c r="Z153" i="2"/>
  <c r="BA100" i="2"/>
  <c r="BA101" i="2"/>
  <c r="AM76" i="2"/>
  <c r="AM77" i="2"/>
  <c r="AM78" i="2"/>
  <c r="AO187" i="2"/>
  <c r="BC187" i="2"/>
  <c r="AO183" i="2"/>
  <c r="BC183" i="2"/>
  <c r="L182" i="2"/>
  <c r="BQ183" i="2"/>
  <c r="CB177" i="2"/>
  <c r="AA177" i="2"/>
  <c r="CA130" i="2"/>
  <c r="Y113" i="2"/>
  <c r="BZ109" i="2"/>
  <c r="Y104" i="2"/>
  <c r="BZ100" i="2"/>
  <c r="BC175" i="2"/>
  <c r="BC177" i="2"/>
  <c r="CB170" i="2"/>
  <c r="CB172" i="2"/>
  <c r="CB171" i="2"/>
  <c r="BB153" i="2"/>
  <c r="BB155" i="2"/>
  <c r="BB154" i="2"/>
  <c r="BD79" i="2"/>
  <c r="BC80" i="2"/>
  <c r="BD80" i="2"/>
  <c r="BC81" i="2"/>
  <c r="BD81" i="2"/>
  <c r="BC79" i="2"/>
  <c r="BQ187" i="2"/>
  <c r="L187" i="2"/>
  <c r="CB176" i="2"/>
  <c r="AA176" i="2"/>
  <c r="BB138" i="2"/>
  <c r="BB140" i="2"/>
  <c r="BB139" i="2"/>
  <c r="BB141" i="2"/>
  <c r="Z137" i="2"/>
  <c r="Z139" i="2"/>
  <c r="Z141" i="2"/>
  <c r="Z138" i="2"/>
  <c r="Z140" i="2"/>
  <c r="Z131" i="2"/>
  <c r="Z133" i="2"/>
  <c r="Z132" i="2"/>
  <c r="Z134" i="2"/>
  <c r="BA113" i="2"/>
  <c r="BA114" i="2"/>
  <c r="BA104" i="2"/>
  <c r="BA105" i="2"/>
  <c r="BC170" i="2"/>
  <c r="BC172" i="2"/>
  <c r="AA170" i="2"/>
  <c r="AA172" i="2"/>
  <c r="AA171" i="2"/>
  <c r="Z154" i="2"/>
  <c r="Z156" i="2"/>
  <c r="CA137" i="2"/>
  <c r="CA139" i="2"/>
  <c r="CA141" i="2"/>
  <c r="CA138" i="2"/>
  <c r="CA140" i="2"/>
  <c r="CA131" i="2"/>
  <c r="CA133" i="2"/>
  <c r="CA132" i="2"/>
  <c r="CA134" i="2"/>
  <c r="BB130" i="2"/>
  <c r="BB132" i="2"/>
  <c r="BB134" i="2"/>
  <c r="BB131" i="2"/>
  <c r="BB133" i="2"/>
  <c r="BA109" i="2"/>
  <c r="BA110" i="2"/>
  <c r="CB186" i="2"/>
  <c r="CB188" i="2"/>
  <c r="AA186" i="2"/>
  <c r="AA188" i="2"/>
  <c r="CB182" i="2"/>
  <c r="CB181" i="2"/>
  <c r="AA182" i="2"/>
  <c r="AA181" i="2"/>
  <c r="AO181" i="2"/>
  <c r="L183" i="2"/>
  <c r="BQ175" i="2"/>
  <c r="BQ177" i="2"/>
  <c r="L175" i="2"/>
  <c r="L177" i="2"/>
  <c r="AO176" i="2"/>
  <c r="Z152" i="2"/>
  <c r="BB145" i="2"/>
  <c r="BB146" i="2"/>
  <c r="BB148" i="2"/>
  <c r="BB137" i="2"/>
  <c r="Z130" i="2"/>
  <c r="BZ113" i="2"/>
  <c r="Y109" i="2"/>
  <c r="CA147" i="2"/>
  <c r="CA149" i="2"/>
  <c r="Z147" i="2"/>
  <c r="Z149" i="2"/>
  <c r="CC79" i="2"/>
  <c r="CD79" i="2" s="1"/>
  <c r="CB80" i="2"/>
  <c r="CB81" i="2"/>
  <c r="CC80" i="2"/>
  <c r="CC81" i="2"/>
  <c r="J69" i="2"/>
  <c r="J70" i="2"/>
  <c r="J71" i="2"/>
  <c r="BC181" i="2"/>
  <c r="AO172" i="2"/>
  <c r="BP156" i="2"/>
  <c r="K156" i="2"/>
  <c r="AN155" i="2"/>
  <c r="BP154" i="2"/>
  <c r="K154" i="2"/>
  <c r="AN152" i="2"/>
  <c r="AN146" i="2"/>
  <c r="AN148" i="2"/>
  <c r="BP145" i="2"/>
  <c r="BP147" i="2"/>
  <c r="BP149" i="2"/>
  <c r="K145" i="2"/>
  <c r="M145" i="2" s="1"/>
  <c r="BZ76" i="2"/>
  <c r="BB156" i="2"/>
  <c r="Z155" i="2"/>
  <c r="BB152" i="2"/>
  <c r="AN149" i="2"/>
  <c r="BP148" i="2"/>
  <c r="K148" i="2"/>
  <c r="AN147" i="2"/>
  <c r="BP146" i="2"/>
  <c r="CA145" i="2"/>
  <c r="AB79" i="2"/>
  <c r="AB80" i="2"/>
  <c r="AC80" i="2" s="1"/>
  <c r="AA81" i="2"/>
  <c r="AB81" i="2"/>
  <c r="BZ79" i="2"/>
  <c r="BZ80" i="2"/>
  <c r="BA79" i="2"/>
  <c r="BA80" i="2"/>
  <c r="Y79" i="2"/>
  <c r="Y80" i="2"/>
  <c r="AM80" i="2"/>
  <c r="BZ77" i="2"/>
  <c r="BA76" i="2"/>
  <c r="J76" i="2"/>
  <c r="J77" i="2"/>
  <c r="J78" i="2"/>
  <c r="BO66" i="2"/>
  <c r="BO67" i="2"/>
  <c r="BO68" i="2"/>
  <c r="K149" i="2"/>
  <c r="K147" i="2"/>
  <c r="AN141" i="2"/>
  <c r="BP140" i="2"/>
  <c r="K140" i="2"/>
  <c r="AN139" i="2"/>
  <c r="K134" i="2"/>
  <c r="AN133" i="2"/>
  <c r="BP132" i="2"/>
  <c r="BO81" i="2"/>
  <c r="AM81" i="2"/>
  <c r="J81" i="2"/>
  <c r="J80" i="2"/>
  <c r="BZ78" i="2"/>
  <c r="BA77" i="2"/>
  <c r="Y76" i="2"/>
  <c r="AB77" i="2" s="1"/>
  <c r="BO69" i="2"/>
  <c r="BO70" i="2"/>
  <c r="BO71" i="2"/>
  <c r="AM66" i="2"/>
  <c r="AM67" i="2"/>
  <c r="AM68" i="2"/>
  <c r="Y77" i="2"/>
  <c r="BO76" i="2"/>
  <c r="BO77" i="2"/>
  <c r="BO78" i="2"/>
  <c r="AM69" i="2"/>
  <c r="AM70" i="2"/>
  <c r="AM71" i="2"/>
  <c r="J66" i="2"/>
  <c r="J67" i="2"/>
  <c r="J68" i="2"/>
  <c r="BO56" i="2"/>
  <c r="BO57" i="2"/>
  <c r="BO58" i="2"/>
  <c r="BZ71" i="2"/>
  <c r="BA71" i="2"/>
  <c r="Y71" i="2"/>
  <c r="BZ70" i="2"/>
  <c r="BA70" i="2"/>
  <c r="Y70" i="2"/>
  <c r="BO59" i="2"/>
  <c r="BO60" i="2"/>
  <c r="BO61" i="2"/>
  <c r="AM50" i="2"/>
  <c r="AM51" i="2"/>
  <c r="AM52" i="2"/>
  <c r="Y67" i="2"/>
  <c r="AM59" i="2"/>
  <c r="AM60" i="2"/>
  <c r="AM61" i="2"/>
  <c r="AM57" i="2"/>
  <c r="AM58" i="2"/>
  <c r="BA67" i="2"/>
  <c r="BZ66" i="2"/>
  <c r="BA66" i="2"/>
  <c r="Y66" i="2"/>
  <c r="J60" i="2"/>
  <c r="J61" i="2"/>
  <c r="BA52" i="2"/>
  <c r="BA51" i="2"/>
  <c r="BZ61" i="2"/>
  <c r="BA61" i="2"/>
  <c r="Y61" i="2"/>
  <c r="BZ60" i="2"/>
  <c r="BA60" i="2"/>
  <c r="Y60" i="2"/>
  <c r="AM56" i="2"/>
  <c r="J50" i="2"/>
  <c r="J51" i="2"/>
  <c r="J52" i="2"/>
  <c r="BZ51" i="2"/>
  <c r="BZ50" i="2"/>
  <c r="BA49" i="2"/>
  <c r="Y48" i="2"/>
  <c r="J56" i="2"/>
  <c r="Y51" i="2"/>
  <c r="BZ49" i="2"/>
  <c r="BA48" i="2"/>
  <c r="Y47" i="2"/>
  <c r="BO50" i="2"/>
  <c r="BO51" i="2"/>
  <c r="BO52" i="2"/>
  <c r="AM47" i="2"/>
  <c r="BO49" i="2"/>
  <c r="AM49" i="2"/>
  <c r="J49" i="2"/>
  <c r="BO48" i="2"/>
  <c r="AM48" i="2"/>
  <c r="K26" i="2"/>
  <c r="BP25" i="2"/>
  <c r="AN25" i="2"/>
  <c r="BP24" i="2"/>
  <c r="AN24" i="2"/>
  <c r="K24" i="2"/>
  <c r="CE183" i="2" l="1"/>
  <c r="CD182" i="2"/>
  <c r="CE182" i="2"/>
  <c r="CD183" i="2"/>
  <c r="CE188" i="2"/>
  <c r="CE187" i="2"/>
  <c r="CD188" i="2"/>
  <c r="CD187" i="2"/>
  <c r="CE172" i="2"/>
  <c r="CD171" i="2"/>
  <c r="CE171" i="2"/>
  <c r="CD172" i="2"/>
  <c r="CE177" i="2"/>
  <c r="CE176" i="2"/>
  <c r="CD176" i="2"/>
  <c r="CD177" i="2"/>
  <c r="BT183" i="2"/>
  <c r="BT182" i="2"/>
  <c r="BS182" i="2"/>
  <c r="BS183" i="2"/>
  <c r="BT172" i="2"/>
  <c r="BT171" i="2"/>
  <c r="BS171" i="2"/>
  <c r="BS172" i="2"/>
  <c r="BT177" i="2"/>
  <c r="BT176" i="2"/>
  <c r="BS177" i="2"/>
  <c r="BS176" i="2"/>
  <c r="BT188" i="2"/>
  <c r="BS187" i="2"/>
  <c r="BT187" i="2"/>
  <c r="BS188" i="2"/>
  <c r="BF188" i="2"/>
  <c r="BF187" i="2"/>
  <c r="BE188" i="2"/>
  <c r="BE187" i="2"/>
  <c r="BE172" i="2"/>
  <c r="BF172" i="2"/>
  <c r="BE171" i="2"/>
  <c r="BF171" i="2"/>
  <c r="BE183" i="2"/>
  <c r="BE182" i="2"/>
  <c r="BF183" i="2"/>
  <c r="BF182" i="2"/>
  <c r="BE177" i="2"/>
  <c r="BF177" i="2"/>
  <c r="BF176" i="2"/>
  <c r="BE176" i="2"/>
  <c r="AR187" i="2"/>
  <c r="AR188" i="2"/>
  <c r="AQ187" i="2"/>
  <c r="AQ188" i="2"/>
  <c r="AR177" i="2"/>
  <c r="AQ176" i="2"/>
  <c r="AR176" i="2"/>
  <c r="AQ177" i="2"/>
  <c r="AR183" i="2"/>
  <c r="AR182" i="2"/>
  <c r="AQ183" i="2"/>
  <c r="AQ182" i="2"/>
  <c r="AR172" i="2"/>
  <c r="AR171" i="2"/>
  <c r="AQ172" i="2"/>
  <c r="AQ171" i="2"/>
  <c r="AD183" i="2"/>
  <c r="AD182" i="2"/>
  <c r="AC182" i="2"/>
  <c r="AC183" i="2"/>
  <c r="AD172" i="2"/>
  <c r="AD171" i="2"/>
  <c r="AC172" i="2"/>
  <c r="AC171" i="2"/>
  <c r="AD177" i="2"/>
  <c r="AC176" i="2"/>
  <c r="AD176" i="2"/>
  <c r="AC177" i="2"/>
  <c r="AD188" i="2"/>
  <c r="AD187" i="2"/>
  <c r="AC188" i="2"/>
  <c r="AC187" i="2"/>
  <c r="N177" i="2"/>
  <c r="O187" i="2"/>
  <c r="O188" i="2"/>
  <c r="N188" i="2"/>
  <c r="N187" i="2"/>
  <c r="N176" i="2"/>
  <c r="O177" i="2"/>
  <c r="O176" i="2"/>
  <c r="O183" i="2"/>
  <c r="N182" i="2"/>
  <c r="N183" i="2"/>
  <c r="O182" i="2"/>
  <c r="O171" i="2"/>
  <c r="N172" i="2"/>
  <c r="O172" i="2"/>
  <c r="BQ67" i="2"/>
  <c r="BR67" i="2"/>
  <c r="BD77" i="2"/>
  <c r="BC77" i="2"/>
  <c r="BC48" i="2"/>
  <c r="BD48" i="2"/>
  <c r="BD57" i="2"/>
  <c r="BC57" i="2"/>
  <c r="BR57" i="2"/>
  <c r="BQ57" i="2"/>
  <c r="AP77" i="2"/>
  <c r="AO77" i="2"/>
  <c r="AO48" i="2"/>
  <c r="AP48" i="2"/>
  <c r="AP57" i="2"/>
  <c r="AO57" i="2"/>
  <c r="BC67" i="2"/>
  <c r="BD67" i="2"/>
  <c r="BR77" i="2"/>
  <c r="BQ77" i="2"/>
  <c r="AO67" i="2"/>
  <c r="AP67" i="2"/>
  <c r="CC77" i="2"/>
  <c r="CB77" i="2"/>
  <c r="CB67" i="2"/>
  <c r="CC67" i="2"/>
  <c r="CC57" i="2"/>
  <c r="CB57" i="2"/>
  <c r="BQ48" i="2"/>
  <c r="BR48" i="2"/>
  <c r="L109" i="2"/>
  <c r="CB48" i="2"/>
  <c r="CC48" i="2"/>
  <c r="M66" i="2"/>
  <c r="L67" i="2"/>
  <c r="M67" i="2"/>
  <c r="AB48" i="2"/>
  <c r="AA48" i="2"/>
  <c r="AA67" i="2"/>
  <c r="AA77" i="2"/>
  <c r="AB67" i="2"/>
  <c r="AB57" i="2"/>
  <c r="AA57" i="2"/>
  <c r="M57" i="2"/>
  <c r="L57" i="2"/>
  <c r="M77" i="2"/>
  <c r="L77" i="2"/>
  <c r="L48" i="2"/>
  <c r="M48" i="2"/>
  <c r="L58" i="2"/>
  <c r="L56" i="2"/>
  <c r="AB76" i="2"/>
  <c r="AA76" i="2"/>
  <c r="AA78" i="2"/>
  <c r="AB78" i="2"/>
  <c r="L52" i="2"/>
  <c r="L50" i="2"/>
  <c r="L47" i="2"/>
  <c r="L49" i="2"/>
  <c r="N170" i="2"/>
  <c r="O186" i="2"/>
  <c r="N130" i="2"/>
  <c r="M133" i="2"/>
  <c r="M132" i="2"/>
  <c r="M130" i="2"/>
  <c r="M47" i="2"/>
  <c r="L105" i="2"/>
  <c r="M104" i="2"/>
  <c r="L104" i="2"/>
  <c r="L101" i="2"/>
  <c r="L100" i="2"/>
  <c r="M101" i="2"/>
  <c r="CD147" i="2"/>
  <c r="CC147" i="2"/>
  <c r="CD139" i="2"/>
  <c r="CC139" i="2"/>
  <c r="CD132" i="2"/>
  <c r="CC132" i="2"/>
  <c r="CD154" i="2"/>
  <c r="CC154" i="2"/>
  <c r="BS147" i="2"/>
  <c r="BR147" i="2"/>
  <c r="BS132" i="2"/>
  <c r="BR132" i="2"/>
  <c r="BS139" i="2"/>
  <c r="BR139" i="2"/>
  <c r="BS154" i="2"/>
  <c r="BR154" i="2"/>
  <c r="BE154" i="2"/>
  <c r="BD154" i="2"/>
  <c r="BE139" i="2"/>
  <c r="BD139" i="2"/>
  <c r="BE147" i="2"/>
  <c r="BD147" i="2"/>
  <c r="BE132" i="2"/>
  <c r="BD132" i="2"/>
  <c r="AQ154" i="2"/>
  <c r="AP154" i="2"/>
  <c r="AQ132" i="2"/>
  <c r="AP132" i="2"/>
  <c r="AQ139" i="2"/>
  <c r="AP139" i="2"/>
  <c r="AQ147" i="2"/>
  <c r="AP147" i="2"/>
  <c r="AC132" i="2"/>
  <c r="AB132" i="2"/>
  <c r="AC154" i="2"/>
  <c r="AB154" i="2"/>
  <c r="AC139" i="2"/>
  <c r="AB139" i="2"/>
  <c r="AC147" i="2"/>
  <c r="AB147" i="2"/>
  <c r="N147" i="2"/>
  <c r="M147" i="2"/>
  <c r="N139" i="2"/>
  <c r="N154" i="2"/>
  <c r="M154" i="2"/>
  <c r="N132" i="2"/>
  <c r="CB68" i="2"/>
  <c r="CC68" i="2"/>
  <c r="CD146" i="2"/>
  <c r="CC148" i="2"/>
  <c r="CC149" i="2"/>
  <c r="CD148" i="2"/>
  <c r="CD149" i="2"/>
  <c r="CC146" i="2"/>
  <c r="CC145" i="2"/>
  <c r="CD145" i="2"/>
  <c r="CB78" i="2"/>
  <c r="CC78" i="2"/>
  <c r="CB114" i="2"/>
  <c r="CC114" i="2"/>
  <c r="CC140" i="2"/>
  <c r="CC141" i="2"/>
  <c r="CD140" i="2"/>
  <c r="CD141" i="2"/>
  <c r="CC138" i="2"/>
  <c r="CD138" i="2"/>
  <c r="CC137" i="2"/>
  <c r="CD137" i="2"/>
  <c r="CB101" i="2"/>
  <c r="CC101" i="2"/>
  <c r="CB110" i="2"/>
  <c r="CC110" i="2"/>
  <c r="CC133" i="2"/>
  <c r="CC134" i="2"/>
  <c r="CD133" i="2"/>
  <c r="CD134" i="2"/>
  <c r="CC131" i="2"/>
  <c r="CD131" i="2"/>
  <c r="CC130" i="2"/>
  <c r="CD130" i="2"/>
  <c r="CC155" i="2"/>
  <c r="CC156" i="2"/>
  <c r="CD155" i="2"/>
  <c r="CD156" i="2"/>
  <c r="CC153" i="2"/>
  <c r="CD153" i="2"/>
  <c r="CB58" i="2"/>
  <c r="CC58" i="2"/>
  <c r="CB105" i="2"/>
  <c r="CC105" i="2"/>
  <c r="CB49" i="2"/>
  <c r="CC49" i="2"/>
  <c r="BQ58" i="2"/>
  <c r="BR58" i="2"/>
  <c r="BQ78" i="2"/>
  <c r="BR78" i="2"/>
  <c r="BQ68" i="2"/>
  <c r="BR68" i="2"/>
  <c r="BR148" i="2"/>
  <c r="BR149" i="2"/>
  <c r="BS148" i="2"/>
  <c r="BS149" i="2"/>
  <c r="BR146" i="2"/>
  <c r="BS146" i="2"/>
  <c r="BR145" i="2"/>
  <c r="BS145" i="2"/>
  <c r="BQ49" i="2"/>
  <c r="BR49" i="2"/>
  <c r="BS133" i="2"/>
  <c r="BS134" i="2"/>
  <c r="BR133" i="2"/>
  <c r="BR134" i="2"/>
  <c r="BR131" i="2"/>
  <c r="BS131" i="2"/>
  <c r="BR130" i="2"/>
  <c r="BS130" i="2"/>
  <c r="BQ105" i="2"/>
  <c r="BR105" i="2"/>
  <c r="BR140" i="2"/>
  <c r="BR141" i="2"/>
  <c r="BS140" i="2"/>
  <c r="BS141" i="2"/>
  <c r="BR138" i="2"/>
  <c r="BS138" i="2"/>
  <c r="BR137" i="2"/>
  <c r="BS137" i="2"/>
  <c r="BR155" i="2"/>
  <c r="BR156" i="2"/>
  <c r="BS155" i="2"/>
  <c r="BS156" i="2"/>
  <c r="BR153" i="2"/>
  <c r="BS153" i="2"/>
  <c r="BR152" i="2"/>
  <c r="BS152" i="2"/>
  <c r="BQ114" i="2"/>
  <c r="BR114" i="2"/>
  <c r="BS186" i="2"/>
  <c r="BQ101" i="2"/>
  <c r="BR101" i="2"/>
  <c r="BR100" i="2"/>
  <c r="BQ100" i="2"/>
  <c r="BQ110" i="2"/>
  <c r="BR110" i="2"/>
  <c r="BC68" i="2"/>
  <c r="BD68" i="2"/>
  <c r="BC78" i="2"/>
  <c r="BD78" i="2"/>
  <c r="BD155" i="2"/>
  <c r="BD156" i="2"/>
  <c r="BE155" i="2"/>
  <c r="BE156" i="2"/>
  <c r="BD153" i="2"/>
  <c r="BE153" i="2"/>
  <c r="BD152" i="2"/>
  <c r="BE152" i="2"/>
  <c r="BE141" i="2"/>
  <c r="BE140" i="2"/>
  <c r="BD141" i="2"/>
  <c r="BD140" i="2"/>
  <c r="BD138" i="2"/>
  <c r="BE138" i="2"/>
  <c r="BD137" i="2"/>
  <c r="BE137" i="2"/>
  <c r="BE149" i="2"/>
  <c r="BE148" i="2"/>
  <c r="BD149" i="2"/>
  <c r="BD148" i="2"/>
  <c r="BD146" i="2"/>
  <c r="BE146" i="2"/>
  <c r="BD145" i="2"/>
  <c r="BE145" i="2"/>
  <c r="BC110" i="2"/>
  <c r="BD110" i="2"/>
  <c r="BE134" i="2"/>
  <c r="BE133" i="2"/>
  <c r="BD134" i="2"/>
  <c r="BD133" i="2"/>
  <c r="BD131" i="2"/>
  <c r="BE131" i="2"/>
  <c r="BD130" i="2"/>
  <c r="BE130" i="2"/>
  <c r="BC105" i="2"/>
  <c r="BD105" i="2"/>
  <c r="BC114" i="2"/>
  <c r="BD114" i="2"/>
  <c r="BC113" i="2"/>
  <c r="BD113" i="2"/>
  <c r="BC101" i="2"/>
  <c r="BD101" i="2"/>
  <c r="BC49" i="2"/>
  <c r="BD49" i="2"/>
  <c r="BC58" i="2"/>
  <c r="BD58" i="2"/>
  <c r="CB100" i="2"/>
  <c r="CC100" i="2"/>
  <c r="CB104" i="2"/>
  <c r="CC104" i="2"/>
  <c r="CB109" i="2"/>
  <c r="CC109" i="2"/>
  <c r="CB113" i="2"/>
  <c r="CC113" i="2"/>
  <c r="CB47" i="2"/>
  <c r="CC47" i="2"/>
  <c r="CB56" i="2"/>
  <c r="CC56" i="2"/>
  <c r="CB66" i="2"/>
  <c r="CC66" i="2"/>
  <c r="CB76" i="2"/>
  <c r="CC76" i="2"/>
  <c r="BQ47" i="2"/>
  <c r="BR47" i="2"/>
  <c r="BQ113" i="2"/>
  <c r="BR113" i="2"/>
  <c r="BQ109" i="2"/>
  <c r="BR109" i="2"/>
  <c r="BQ104" i="2"/>
  <c r="BR104" i="2"/>
  <c r="BQ56" i="2"/>
  <c r="BR56" i="2"/>
  <c r="BQ66" i="2"/>
  <c r="BR66" i="2"/>
  <c r="BQ76" i="2"/>
  <c r="BR76" i="2"/>
  <c r="BC56" i="2"/>
  <c r="BD56" i="2"/>
  <c r="BC76" i="2"/>
  <c r="BD76" i="2"/>
  <c r="BC47" i="2"/>
  <c r="BD47" i="2"/>
  <c r="BC100" i="2"/>
  <c r="BD100" i="2"/>
  <c r="BC104" i="2"/>
  <c r="BD104" i="2"/>
  <c r="BC109" i="2"/>
  <c r="BD109" i="2"/>
  <c r="BC66" i="2"/>
  <c r="BD66" i="2"/>
  <c r="AO49" i="2"/>
  <c r="AP49" i="2"/>
  <c r="AO47" i="2"/>
  <c r="AP47" i="2"/>
  <c r="AO58" i="2"/>
  <c r="AP58" i="2"/>
  <c r="AO56" i="2"/>
  <c r="AP56" i="2"/>
  <c r="AO68" i="2"/>
  <c r="AP68" i="2"/>
  <c r="AO66" i="2"/>
  <c r="AP66" i="2"/>
  <c r="AQ156" i="2"/>
  <c r="AP156" i="2"/>
  <c r="AP155" i="2"/>
  <c r="AQ155" i="2"/>
  <c r="AP153" i="2"/>
  <c r="AQ153" i="2"/>
  <c r="AP152" i="2"/>
  <c r="AQ152" i="2"/>
  <c r="AO78" i="2"/>
  <c r="AP78" i="2"/>
  <c r="AO76" i="2"/>
  <c r="AP76" i="2"/>
  <c r="AP100" i="2"/>
  <c r="AP101" i="2"/>
  <c r="AO101" i="2"/>
  <c r="AO100" i="2"/>
  <c r="AP133" i="2"/>
  <c r="AQ134" i="2"/>
  <c r="AP134" i="2"/>
  <c r="AQ133" i="2"/>
  <c r="AP131" i="2"/>
  <c r="AQ131" i="2"/>
  <c r="AP130" i="2"/>
  <c r="AQ130" i="2"/>
  <c r="AO110" i="2"/>
  <c r="AP110" i="2"/>
  <c r="AO109" i="2"/>
  <c r="AP109" i="2"/>
  <c r="AQ141" i="2"/>
  <c r="AP141" i="2"/>
  <c r="AQ140" i="2"/>
  <c r="AP140" i="2"/>
  <c r="AP138" i="2"/>
  <c r="AQ138" i="2"/>
  <c r="AP137" i="2"/>
  <c r="AQ137" i="2"/>
  <c r="AO104" i="2"/>
  <c r="AP104" i="2"/>
  <c r="AO105" i="2"/>
  <c r="AP105" i="2"/>
  <c r="AO114" i="2"/>
  <c r="AP114" i="2"/>
  <c r="AO113" i="2"/>
  <c r="AP113" i="2"/>
  <c r="AP149" i="2"/>
  <c r="AP148" i="2"/>
  <c r="AQ149" i="2"/>
  <c r="AQ148" i="2"/>
  <c r="AP146" i="2"/>
  <c r="AQ146" i="2"/>
  <c r="AP145" i="2"/>
  <c r="AQ145" i="2"/>
  <c r="AA47" i="2"/>
  <c r="AB47" i="2"/>
  <c r="AA49" i="2"/>
  <c r="AB49" i="2"/>
  <c r="AA66" i="2"/>
  <c r="AB66" i="2"/>
  <c r="AA68" i="2"/>
  <c r="AB68" i="2"/>
  <c r="AA110" i="2"/>
  <c r="AB110" i="2"/>
  <c r="AA109" i="2"/>
  <c r="AB109" i="2"/>
  <c r="AC134" i="2"/>
  <c r="AB134" i="2"/>
  <c r="AC133" i="2"/>
  <c r="AB133" i="2"/>
  <c r="AB131" i="2"/>
  <c r="AC131" i="2"/>
  <c r="AB130" i="2"/>
  <c r="AC130" i="2"/>
  <c r="AB156" i="2"/>
  <c r="AB155" i="2"/>
  <c r="AC155" i="2"/>
  <c r="AC156" i="2"/>
  <c r="AB153" i="2"/>
  <c r="AC153" i="2"/>
  <c r="AB152" i="2"/>
  <c r="AC152" i="2"/>
  <c r="AB141" i="2"/>
  <c r="AC141" i="2"/>
  <c r="AB140" i="2"/>
  <c r="AC140" i="2"/>
  <c r="AB138" i="2"/>
  <c r="AC138" i="2"/>
  <c r="AB137" i="2"/>
  <c r="AC137" i="2"/>
  <c r="AA105" i="2"/>
  <c r="AB105" i="2"/>
  <c r="AA104" i="2"/>
  <c r="AB104" i="2"/>
  <c r="AA114" i="2"/>
  <c r="AB114" i="2"/>
  <c r="AA113" i="2"/>
  <c r="AB113" i="2"/>
  <c r="AA56" i="2"/>
  <c r="AB56" i="2"/>
  <c r="AA58" i="2"/>
  <c r="AB58" i="2"/>
  <c r="AB148" i="2"/>
  <c r="AB149" i="2"/>
  <c r="AC149" i="2"/>
  <c r="AC148" i="2"/>
  <c r="AB146" i="2"/>
  <c r="AC146" i="2"/>
  <c r="AB145" i="2"/>
  <c r="AC145" i="2"/>
  <c r="AA101" i="2"/>
  <c r="AB101" i="2"/>
  <c r="AA100" i="2"/>
  <c r="AB100" i="2"/>
  <c r="N149" i="2"/>
  <c r="M149" i="2"/>
  <c r="M141" i="2"/>
  <c r="N141" i="2"/>
  <c r="N156" i="2"/>
  <c r="M156" i="2"/>
  <c r="N148" i="2"/>
  <c r="M148" i="2"/>
  <c r="M146" i="2"/>
  <c r="N146" i="2"/>
  <c r="N145" i="2"/>
  <c r="M140" i="2"/>
  <c r="N140" i="2"/>
  <c r="M138" i="2"/>
  <c r="N138" i="2"/>
  <c r="M137" i="2"/>
  <c r="N137" i="2"/>
  <c r="M109" i="2"/>
  <c r="M155" i="2"/>
  <c r="N155" i="2"/>
  <c r="M153" i="2"/>
  <c r="N153" i="2"/>
  <c r="M152" i="2"/>
  <c r="N152" i="2"/>
  <c r="M100" i="2"/>
  <c r="M134" i="2"/>
  <c r="N134" i="2"/>
  <c r="N133" i="2"/>
  <c r="M131" i="2"/>
  <c r="N131" i="2"/>
  <c r="M113" i="2"/>
  <c r="L110" i="2"/>
  <c r="M110" i="2"/>
  <c r="M105" i="2"/>
  <c r="L114" i="2"/>
  <c r="M114" i="2"/>
  <c r="M56" i="2"/>
  <c r="L66" i="2"/>
  <c r="L76" i="2"/>
  <c r="M76" i="2"/>
  <c r="L78" i="2"/>
  <c r="M78" i="2"/>
  <c r="M58" i="2"/>
  <c r="L68" i="2"/>
  <c r="M68" i="2"/>
  <c r="M49" i="2"/>
  <c r="BF186" i="2"/>
  <c r="BE186" i="2"/>
  <c r="AA52" i="2"/>
  <c r="AC79" i="2"/>
  <c r="AA51" i="2"/>
  <c r="AB52" i="2"/>
  <c r="AD175" i="2"/>
  <c r="N186" i="2"/>
  <c r="BT170" i="2"/>
  <c r="AB51" i="2"/>
  <c r="AA50" i="2"/>
  <c r="AC50" i="2" s="1"/>
  <c r="AC175" i="2"/>
  <c r="AQ175" i="2"/>
  <c r="BE80" i="2"/>
  <c r="BT186" i="2"/>
  <c r="AR175" i="2"/>
  <c r="BS170" i="2"/>
  <c r="CE175" i="2"/>
  <c r="AR186" i="2"/>
  <c r="CD175" i="2"/>
  <c r="O170" i="2"/>
  <c r="AR170" i="2"/>
  <c r="CC51" i="2"/>
  <c r="CB51" i="2"/>
  <c r="AQ170" i="2"/>
  <c r="CB50" i="2"/>
  <c r="CD81" i="2"/>
  <c r="AQ186" i="2"/>
  <c r="CC50" i="2"/>
  <c r="CC52" i="2"/>
  <c r="CD52" i="2" s="1"/>
  <c r="AC186" i="2"/>
  <c r="AD186" i="2"/>
  <c r="BE175" i="2"/>
  <c r="BF175" i="2"/>
  <c r="AA59" i="2"/>
  <c r="AA60" i="2"/>
  <c r="AA61" i="2"/>
  <c r="AB59" i="2"/>
  <c r="AB60" i="2"/>
  <c r="AB61" i="2"/>
  <c r="AP50" i="2"/>
  <c r="AO50" i="2"/>
  <c r="AO52" i="2"/>
  <c r="AO51" i="2"/>
  <c r="AP52" i="2"/>
  <c r="AP51" i="2"/>
  <c r="AA69" i="2"/>
  <c r="AA70" i="2"/>
  <c r="AA71" i="2"/>
  <c r="AB69" i="2"/>
  <c r="AB70" i="2"/>
  <c r="AB71" i="2"/>
  <c r="BQ69" i="2"/>
  <c r="BQ70" i="2"/>
  <c r="BQ71" i="2"/>
  <c r="BR70" i="2"/>
  <c r="BR69" i="2"/>
  <c r="BR71" i="2"/>
  <c r="AO79" i="2"/>
  <c r="AO80" i="2"/>
  <c r="AP80" i="2"/>
  <c r="AP81" i="2"/>
  <c r="AO81" i="2"/>
  <c r="AP79" i="2"/>
  <c r="AC81" i="2"/>
  <c r="CD80" i="2"/>
  <c r="BE81" i="2"/>
  <c r="L79" i="2"/>
  <c r="L80" i="2"/>
  <c r="M81" i="2"/>
  <c r="M79" i="2"/>
  <c r="M80" i="2"/>
  <c r="L81" i="2"/>
  <c r="O175" i="2"/>
  <c r="N175" i="2"/>
  <c r="CD186" i="2"/>
  <c r="CE186" i="2"/>
  <c r="AC170" i="2"/>
  <c r="AD170" i="2"/>
  <c r="BR50" i="2"/>
  <c r="BQ50" i="2"/>
  <c r="BR51" i="2"/>
  <c r="BQ52" i="2"/>
  <c r="BR52" i="2"/>
  <c r="BQ51" i="2"/>
  <c r="M50" i="2"/>
  <c r="M51" i="2"/>
  <c r="M52" i="2"/>
  <c r="L51" i="2"/>
  <c r="BC59" i="2"/>
  <c r="BC60" i="2"/>
  <c r="BC61" i="2"/>
  <c r="BD59" i="2"/>
  <c r="BD60" i="2"/>
  <c r="BD61" i="2"/>
  <c r="BC50" i="2"/>
  <c r="BC51" i="2"/>
  <c r="BC52" i="2"/>
  <c r="BD50" i="2"/>
  <c r="BD52" i="2"/>
  <c r="BD51" i="2"/>
  <c r="BC69" i="2"/>
  <c r="BC70" i="2"/>
  <c r="BC71" i="2"/>
  <c r="BD69" i="2"/>
  <c r="BD70" i="2"/>
  <c r="BD71" i="2"/>
  <c r="AO69" i="2"/>
  <c r="AO70" i="2"/>
  <c r="AO71" i="2"/>
  <c r="AP69" i="2"/>
  <c r="AP71" i="2"/>
  <c r="AP70" i="2"/>
  <c r="BQ79" i="2"/>
  <c r="BQ80" i="2"/>
  <c r="BR81" i="2"/>
  <c r="BR80" i="2"/>
  <c r="BR79" i="2"/>
  <c r="BQ81" i="2"/>
  <c r="BF170" i="2"/>
  <c r="BE170" i="2"/>
  <c r="CD170" i="2"/>
  <c r="CE170" i="2"/>
  <c r="CD152" i="2"/>
  <c r="CC152" i="2"/>
  <c r="L59" i="2"/>
  <c r="L60" i="2"/>
  <c r="L61" i="2"/>
  <c r="M59" i="2"/>
  <c r="M61" i="2"/>
  <c r="M60" i="2"/>
  <c r="AO59" i="2"/>
  <c r="AO60" i="2"/>
  <c r="AO61" i="2"/>
  <c r="AP60" i="2"/>
  <c r="AP59" i="2"/>
  <c r="AP61" i="2"/>
  <c r="CB59" i="2"/>
  <c r="CB60" i="2"/>
  <c r="CB61" i="2"/>
  <c r="CC59" i="2"/>
  <c r="CC60" i="2"/>
  <c r="CC61" i="2"/>
  <c r="BQ59" i="2"/>
  <c r="BQ60" i="2"/>
  <c r="BQ61" i="2"/>
  <c r="BR61" i="2"/>
  <c r="BR60" i="2"/>
  <c r="BR59" i="2"/>
  <c r="CB69" i="2"/>
  <c r="CB70" i="2"/>
  <c r="CB71" i="2"/>
  <c r="CC69" i="2"/>
  <c r="CC70" i="2"/>
  <c r="CC71" i="2"/>
  <c r="L69" i="2"/>
  <c r="L70" i="2"/>
  <c r="L71" i="2"/>
  <c r="M71" i="2"/>
  <c r="M70" i="2"/>
  <c r="M69" i="2"/>
  <c r="BT175" i="2"/>
  <c r="BS175" i="2"/>
  <c r="BE79" i="2"/>
  <c r="BG183" i="2" l="1"/>
  <c r="M12" i="2" s="1" a="1"/>
  <c r="M12" i="2" s="1"/>
  <c r="P177" i="2"/>
  <c r="P188" i="2"/>
  <c r="BF139" i="2"/>
  <c r="BE113" i="2"/>
  <c r="BF149" i="2"/>
  <c r="BF140" i="2"/>
  <c r="BT134" i="2"/>
  <c r="CE156" i="2"/>
  <c r="BF148" i="2"/>
  <c r="CE152" i="2"/>
  <c r="AR156" i="2"/>
  <c r="CE146" i="2"/>
  <c r="BF147" i="2"/>
  <c r="BU186" i="2"/>
  <c r="AQ101" i="2"/>
  <c r="AR140" i="2"/>
  <c r="AR134" i="2"/>
  <c r="AQ100" i="2"/>
  <c r="BG182" i="2"/>
  <c r="BF133" i="2"/>
  <c r="AE188" i="2"/>
  <c r="K15" i="2" s="1" a="1"/>
  <c r="K15" i="2" s="1"/>
  <c r="AD134" i="2"/>
  <c r="AR141" i="2"/>
  <c r="BS100" i="2"/>
  <c r="BF134" i="2"/>
  <c r="BF141" i="2"/>
  <c r="BT133" i="2"/>
  <c r="CE155" i="2"/>
  <c r="CF172" i="2"/>
  <c r="O13" i="2" s="1" a="1"/>
  <c r="O13" i="2" s="1"/>
  <c r="AD133" i="2"/>
  <c r="P171" i="2"/>
  <c r="N78" i="2"/>
  <c r="N47" i="2"/>
  <c r="O149" i="2"/>
  <c r="N100" i="2"/>
  <c r="O156" i="2"/>
  <c r="P176" i="2"/>
  <c r="P183" i="2"/>
  <c r="J12" i="2" s="1" a="1"/>
  <c r="J12" i="2" s="1"/>
  <c r="O148" i="2"/>
  <c r="CE153" i="2"/>
  <c r="CD48" i="2"/>
  <c r="CD49" i="2"/>
  <c r="CD105" i="2"/>
  <c r="CF176" i="2"/>
  <c r="CF177" i="2"/>
  <c r="O14" i="2" s="1" a="1"/>
  <c r="O14" i="2" s="1"/>
  <c r="CD57" i="2"/>
  <c r="CD58" i="2"/>
  <c r="CE154" i="2"/>
  <c r="CE130" i="2"/>
  <c r="CE131" i="2"/>
  <c r="CE132" i="2"/>
  <c r="CE134" i="2"/>
  <c r="CE133" i="2"/>
  <c r="CD110" i="2"/>
  <c r="CD101" i="2"/>
  <c r="CF171" i="2"/>
  <c r="CE137" i="2"/>
  <c r="CE138" i="2"/>
  <c r="CE139" i="2"/>
  <c r="CE141" i="2"/>
  <c r="CE140" i="2"/>
  <c r="CF187" i="2"/>
  <c r="CF188" i="2"/>
  <c r="O15" i="2" s="1" a="1"/>
  <c r="O15" i="2" s="1"/>
  <c r="CF182" i="2"/>
  <c r="CF183" i="2"/>
  <c r="O12" i="2" s="1" a="1"/>
  <c r="O12" i="2" s="1"/>
  <c r="CD114" i="2"/>
  <c r="CD77" i="2"/>
  <c r="CD78" i="2"/>
  <c r="CE145" i="2"/>
  <c r="CE147" i="2"/>
  <c r="CE149" i="2"/>
  <c r="CE148" i="2"/>
  <c r="CD67" i="2"/>
  <c r="CD68" i="2"/>
  <c r="BU182" i="2"/>
  <c r="BU183" i="2"/>
  <c r="N12" i="2" s="1" a="1"/>
  <c r="N12" i="2" s="1"/>
  <c r="BS110" i="2"/>
  <c r="BS101" i="2"/>
  <c r="BU171" i="2"/>
  <c r="BU172" i="2"/>
  <c r="N13" i="2" s="1" a="1"/>
  <c r="N13" i="2" s="1"/>
  <c r="BU187" i="2"/>
  <c r="BU188" i="2"/>
  <c r="N15" i="2" s="1" a="1"/>
  <c r="N15" i="2" s="1"/>
  <c r="BS114" i="2"/>
  <c r="BT152" i="2"/>
  <c r="BT153" i="2"/>
  <c r="BT154" i="2"/>
  <c r="BT156" i="2"/>
  <c r="BT155" i="2"/>
  <c r="BT137" i="2"/>
  <c r="BT138" i="2"/>
  <c r="BT139" i="2"/>
  <c r="BT141" i="2"/>
  <c r="BT140" i="2"/>
  <c r="BS105" i="2"/>
  <c r="BT130" i="2"/>
  <c r="BT131" i="2"/>
  <c r="BT132" i="2"/>
  <c r="BS48" i="2"/>
  <c r="BS49" i="2"/>
  <c r="BU176" i="2"/>
  <c r="BU177" i="2"/>
  <c r="N14" i="2" s="1" a="1"/>
  <c r="N14" i="2" s="1"/>
  <c r="BT145" i="2"/>
  <c r="BT146" i="2"/>
  <c r="BT147" i="2"/>
  <c r="BT149" i="2"/>
  <c r="BT148" i="2"/>
  <c r="BS67" i="2"/>
  <c r="BS68" i="2"/>
  <c r="BS77" i="2"/>
  <c r="BS78" i="2"/>
  <c r="BS57" i="2"/>
  <c r="BS58" i="2"/>
  <c r="BG187" i="2"/>
  <c r="BG188" i="2"/>
  <c r="M15" i="2" s="1" a="1"/>
  <c r="M15" i="2" s="1"/>
  <c r="BE57" i="2"/>
  <c r="BE58" i="2"/>
  <c r="BE48" i="2"/>
  <c r="BE49" i="2"/>
  <c r="BE101" i="2"/>
  <c r="BG176" i="2"/>
  <c r="BG177" i="2"/>
  <c r="M14" i="2" s="1" a="1"/>
  <c r="M14" i="2" s="1"/>
  <c r="BE114" i="2"/>
  <c r="BE105" i="2"/>
  <c r="BG171" i="2"/>
  <c r="BG172" i="2"/>
  <c r="M13" i="2" s="1" a="1"/>
  <c r="M13" i="2" s="1"/>
  <c r="BF130" i="2"/>
  <c r="BF131" i="2"/>
  <c r="BF132" i="2"/>
  <c r="BE110" i="2"/>
  <c r="BF145" i="2"/>
  <c r="BF146" i="2"/>
  <c r="BF137" i="2"/>
  <c r="BF138" i="2"/>
  <c r="BF152" i="2"/>
  <c r="BF153" i="2"/>
  <c r="BF154" i="2"/>
  <c r="BF156" i="2"/>
  <c r="BF155" i="2"/>
  <c r="BE77" i="2"/>
  <c r="BE78" i="2"/>
  <c r="BE67" i="2"/>
  <c r="BE68" i="2"/>
  <c r="CD76" i="2"/>
  <c r="CD66" i="2"/>
  <c r="CD56" i="2"/>
  <c r="CD47" i="2"/>
  <c r="CD113" i="2"/>
  <c r="CD109" i="2"/>
  <c r="CD104" i="2"/>
  <c r="CD100" i="2"/>
  <c r="BS76" i="2"/>
  <c r="BS66" i="2"/>
  <c r="BS56" i="2"/>
  <c r="BS104" i="2"/>
  <c r="BS109" i="2"/>
  <c r="BS113" i="2"/>
  <c r="BS47" i="2"/>
  <c r="BE66" i="2"/>
  <c r="BE109" i="2"/>
  <c r="BE104" i="2"/>
  <c r="BE100" i="2"/>
  <c r="BE47" i="2"/>
  <c r="BE76" i="2"/>
  <c r="BE56" i="2"/>
  <c r="AR145" i="2"/>
  <c r="AR146" i="2"/>
  <c r="AR147" i="2"/>
  <c r="AR148" i="2"/>
  <c r="AR149" i="2"/>
  <c r="AQ113" i="2"/>
  <c r="AQ114" i="2"/>
  <c r="AQ105" i="2"/>
  <c r="AQ104" i="2"/>
  <c r="AS187" i="2"/>
  <c r="AS188" i="2"/>
  <c r="L15" i="2" s="1" a="1"/>
  <c r="L15" i="2" s="1"/>
  <c r="AS176" i="2"/>
  <c r="AS177" i="2"/>
  <c r="L14" i="2" s="1" a="1"/>
  <c r="L14" i="2" s="1"/>
  <c r="AR137" i="2"/>
  <c r="AR138" i="2"/>
  <c r="AR139" i="2"/>
  <c r="AQ109" i="2"/>
  <c r="AQ110" i="2"/>
  <c r="AS171" i="2"/>
  <c r="AS172" i="2"/>
  <c r="L13" i="2" s="1" a="1"/>
  <c r="L13" i="2" s="1"/>
  <c r="AR130" i="2"/>
  <c r="AR131" i="2"/>
  <c r="AR132" i="2"/>
  <c r="AR133" i="2"/>
  <c r="AQ76" i="2"/>
  <c r="AQ77" i="2"/>
  <c r="AQ78" i="2"/>
  <c r="AS182" i="2"/>
  <c r="AS183" i="2"/>
  <c r="L12" i="2" s="1" a="1"/>
  <c r="L12" i="2" s="1"/>
  <c r="AR152" i="2"/>
  <c r="AR153" i="2"/>
  <c r="AR154" i="2"/>
  <c r="AR155" i="2"/>
  <c r="AQ66" i="2"/>
  <c r="AQ67" i="2"/>
  <c r="AQ68" i="2"/>
  <c r="AQ56" i="2"/>
  <c r="AQ57" i="2"/>
  <c r="AQ58" i="2"/>
  <c r="AQ47" i="2"/>
  <c r="AQ48" i="2"/>
  <c r="AQ49" i="2"/>
  <c r="AC100" i="2"/>
  <c r="AC101" i="2"/>
  <c r="AD145" i="2"/>
  <c r="AD146" i="2"/>
  <c r="AD147" i="2"/>
  <c r="AD149" i="2"/>
  <c r="AD148" i="2"/>
  <c r="AC58" i="2"/>
  <c r="AC57" i="2"/>
  <c r="AC56" i="2"/>
  <c r="AE176" i="2"/>
  <c r="AE177" i="2"/>
  <c r="K14" i="2" s="1" a="1"/>
  <c r="K14" i="2" s="1"/>
  <c r="AC113" i="2"/>
  <c r="AC114" i="2"/>
  <c r="AC104" i="2"/>
  <c r="AC105" i="2"/>
  <c r="AD137" i="2"/>
  <c r="AD138" i="2"/>
  <c r="AD139" i="2"/>
  <c r="AD140" i="2"/>
  <c r="AD141" i="2"/>
  <c r="AE171" i="2"/>
  <c r="AE172" i="2"/>
  <c r="K13" i="2" s="1" a="1"/>
  <c r="K13" i="2" s="1"/>
  <c r="AE187" i="2"/>
  <c r="AE182" i="2"/>
  <c r="AE183" i="2"/>
  <c r="K12" i="2" s="1" a="1"/>
  <c r="K12" i="2" s="1"/>
  <c r="AD152" i="2"/>
  <c r="AD153" i="2"/>
  <c r="AD154" i="2"/>
  <c r="AD155" i="2"/>
  <c r="AD156" i="2"/>
  <c r="AD130" i="2"/>
  <c r="AD131" i="2"/>
  <c r="AD132" i="2"/>
  <c r="AC109" i="2"/>
  <c r="AC110" i="2"/>
  <c r="AC78" i="2"/>
  <c r="AC77" i="2"/>
  <c r="AC76" i="2"/>
  <c r="AC68" i="2"/>
  <c r="AC67" i="2"/>
  <c r="AC66" i="2"/>
  <c r="AC49" i="2"/>
  <c r="AC48" i="2"/>
  <c r="AC47" i="2"/>
  <c r="N104" i="2"/>
  <c r="P187" i="2"/>
  <c r="P182" i="2"/>
  <c r="N113" i="2"/>
  <c r="P172" i="2"/>
  <c r="O130" i="2"/>
  <c r="O131" i="2"/>
  <c r="O132" i="2"/>
  <c r="O133" i="2"/>
  <c r="O134" i="2"/>
  <c r="O152" i="2"/>
  <c r="O153" i="2"/>
  <c r="O154" i="2"/>
  <c r="O155" i="2"/>
  <c r="N109" i="2"/>
  <c r="O137" i="2"/>
  <c r="O138" i="2"/>
  <c r="O139" i="2"/>
  <c r="O140" i="2"/>
  <c r="O141" i="2"/>
  <c r="O145" i="2"/>
  <c r="O146" i="2"/>
  <c r="O147" i="2"/>
  <c r="N114" i="2"/>
  <c r="N105" i="2"/>
  <c r="N110" i="2"/>
  <c r="N101" i="2"/>
  <c r="N48" i="2"/>
  <c r="N77" i="2"/>
  <c r="N76" i="2"/>
  <c r="N67" i="2"/>
  <c r="N66" i="2"/>
  <c r="N57" i="2"/>
  <c r="N56" i="2"/>
  <c r="N68" i="2"/>
  <c r="N58" i="2"/>
  <c r="N49" i="2"/>
  <c r="AE175" i="2"/>
  <c r="BG186" i="2"/>
  <c r="AS175" i="2"/>
  <c r="AC52" i="2"/>
  <c r="AC51" i="2"/>
  <c r="P186" i="2"/>
  <c r="CD50" i="2"/>
  <c r="BU170" i="2"/>
  <c r="AC59" i="2"/>
  <c r="CD60" i="2"/>
  <c r="BS60" i="2"/>
  <c r="AE170" i="2"/>
  <c r="CD51" i="2"/>
  <c r="CD59" i="2"/>
  <c r="AQ61" i="2"/>
  <c r="AC69" i="2"/>
  <c r="AQ51" i="2"/>
  <c r="AS186" i="2"/>
  <c r="BE61" i="2"/>
  <c r="BE70" i="2"/>
  <c r="AS170" i="2"/>
  <c r="CF175" i="2"/>
  <c r="BS52" i="2"/>
  <c r="CD71" i="2"/>
  <c r="AQ69" i="2"/>
  <c r="BS50" i="2"/>
  <c r="CF186" i="2"/>
  <c r="N80" i="2"/>
  <c r="AQ81" i="2"/>
  <c r="BS71" i="2"/>
  <c r="P170" i="2"/>
  <c r="BG170" i="2"/>
  <c r="BE52" i="2"/>
  <c r="BE69" i="2"/>
  <c r="BE60" i="2"/>
  <c r="N51" i="2"/>
  <c r="N50" i="2"/>
  <c r="N59" i="2"/>
  <c r="P175" i="2"/>
  <c r="BS69" i="2"/>
  <c r="BU175" i="2"/>
  <c r="N60" i="2"/>
  <c r="N81" i="2"/>
  <c r="AQ79" i="2"/>
  <c r="N70" i="2"/>
  <c r="CD70" i="2"/>
  <c r="BS70" i="2"/>
  <c r="AQ80" i="2"/>
  <c r="AQ52" i="2"/>
  <c r="BG175" i="2"/>
  <c r="AQ70" i="2"/>
  <c r="N71" i="2"/>
  <c r="AQ60" i="2"/>
  <c r="BS81" i="2"/>
  <c r="BS80" i="2"/>
  <c r="BE51" i="2"/>
  <c r="BS51" i="2"/>
  <c r="AC71" i="2"/>
  <c r="AQ50" i="2"/>
  <c r="AC61" i="2"/>
  <c r="BS59" i="2"/>
  <c r="N69" i="2"/>
  <c r="CD69" i="2"/>
  <c r="BS61" i="2"/>
  <c r="CD61" i="2"/>
  <c r="AQ59" i="2"/>
  <c r="N61" i="2"/>
  <c r="CF170" i="2"/>
  <c r="BS79" i="2"/>
  <c r="AQ71" i="2"/>
  <c r="BE71" i="2"/>
  <c r="BE50" i="2"/>
  <c r="BE59" i="2"/>
  <c r="N52" i="2"/>
  <c r="N79" i="2"/>
  <c r="AC70" i="2"/>
  <c r="AC60" i="2"/>
  <c r="AE186" i="2"/>
  <c r="J15" i="2" l="1" a="1"/>
  <c r="J15" i="2" s="1"/>
  <c r="J14" i="2" a="1"/>
  <c r="J14" i="2" s="1"/>
  <c r="P14" i="2" s="1"/>
  <c r="J13" i="2" a="1"/>
  <c r="J13" i="2" s="1"/>
  <c r="P13" i="2" s="1"/>
  <c r="P15" i="2"/>
  <c r="P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tc={03C97F24-CB78-47D2-9F59-B5D4B5B1F8E3}</author>
    <author>tc={39C771BB-17B4-437C-926F-C12E3D41D82B}</author>
    <author>tc={AB515D83-BDDC-4FE1-ABDC-B3C6E311AC35}</author>
  </authors>
  <commentList>
    <comment ref="L47" authorId="0" shapeId="0" xr:uid="{03C97F24-CB78-47D2-9F59-B5D4B5B1F8E3}">
      <text>
        <t>[Komentarų gija]
„Excel“ versija leidžia jums skaityti šią komentarų giją, tačiau visi jos taisymai bus pašalinti, jei failas atidaromas naudojant naujesnę „Excel“ versiją. Daugiau informacijos: https://go.microsoft.com/fwlink/?linkid=870924.
Komentaras:
    bazinės emisijos = EF*TP kiekis*rida per metus</t>
      </text>
    </comment>
    <comment ref="M47" authorId="1" shapeId="0" xr:uid="{39C771BB-17B4-437C-926F-C12E3D41D82B}">
      <text>
        <t>[Komentarų gija]
„Excel“ versija leidžia jums skaityti šią komentarų giją, tačiau visi jos taisymai bus pašalinti, jei failas atidaromas naudojant naujesnę „Excel“ versiją. Daugiau informacijos: https://go.microsoft.com/fwlink/?linkid=870924.
Komentaras:
    projektinės emisijos = EF*TP kiekis*rida per metus</t>
      </text>
    </comment>
    <comment ref="N47" authorId="2" shapeId="0" xr:uid="{AB515D83-BDDC-4FE1-ABDC-B3C6E311AC35}">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paverčiama į kt,
padauginama iš metų kiekio/laikotarpio
sumažinimas = bazinė emisija - projektinė emisija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<sst xmlns="http://schemas.openxmlformats.org/spreadsheetml/2006/main" count="1958" uniqueCount="122">
  <si>
    <t>Kelių transporto priemonių skaičiaus reguliavimo poveikio oro teršalų kiekių pokyčiams skaičiuoklė</t>
  </si>
  <si>
    <t>TEISĖKŪROS INICIATYVOS PARAMETRAI</t>
  </si>
  <si>
    <t xml:space="preserve">Variantas 1 </t>
  </si>
  <si>
    <t>Variantas 2</t>
  </si>
  <si>
    <t>Variantas 3</t>
  </si>
  <si>
    <t>Variantas 4</t>
  </si>
  <si>
    <t>Variantas 5</t>
  </si>
  <si>
    <t>Variantas 6</t>
  </si>
  <si>
    <t>Suma</t>
  </si>
  <si>
    <t>LAIKO PARAMETRAI</t>
  </si>
  <si>
    <t>TI taikymo laikotarpis, m</t>
  </si>
  <si>
    <t>-</t>
  </si>
  <si>
    <t>OBJEKTO PARAMETRAI</t>
  </si>
  <si>
    <t>Bendra TP klasė</t>
  </si>
  <si>
    <t>M1</t>
  </si>
  <si>
    <t>Bendra degalų rūšis</t>
  </si>
  <si>
    <t>Benzinas</t>
  </si>
  <si>
    <t>Bendras emisijų standartas</t>
  </si>
  <si>
    <t>Nežinoma</t>
  </si>
  <si>
    <t>REGULIUOJAMO VEIKLOS RODIKLIO PARAMETRAI</t>
  </si>
  <si>
    <t>*Bazinis TP skaičius, vnt.</t>
  </si>
  <si>
    <t>Projektinis TP skaičius, vnt.</t>
  </si>
  <si>
    <t>REZULTATAI</t>
  </si>
  <si>
    <r>
      <t>NH</t>
    </r>
    <r>
      <rPr>
        <b/>
        <sz val="8"/>
        <color theme="6" tint="-0.749992370372631"/>
        <rFont val="Calibri"/>
        <family val="2"/>
        <charset val="186"/>
      </rPr>
      <t>3</t>
    </r>
    <r>
      <rPr>
        <b/>
        <sz val="11"/>
        <color theme="6" tint="-0.749992370372631"/>
        <rFont val="Calibri"/>
        <family val="2"/>
        <charset val="186"/>
      </rPr>
      <t xml:space="preserve"> kiekio pokytis, kt</t>
    </r>
  </si>
  <si>
    <t>NMLOJ kiekio pokytis, kt</t>
  </si>
  <si>
    <r>
      <t>NO</t>
    </r>
    <r>
      <rPr>
        <b/>
        <sz val="9"/>
        <color theme="6" tint="-0.749992370372631"/>
        <rFont val="Calibri"/>
        <family val="2"/>
        <charset val="186"/>
      </rPr>
      <t>x</t>
    </r>
    <r>
      <rPr>
        <b/>
        <sz val="11"/>
        <color theme="6" tint="-0.749992370372631"/>
        <rFont val="Calibri"/>
        <family val="2"/>
        <charset val="186"/>
      </rPr>
      <t xml:space="preserve"> kiekio pokytis, kt</t>
    </r>
  </si>
  <si>
    <t>KD 2,5 kiekio pokytis, kt</t>
  </si>
  <si>
    <t>Skaičiavimai:</t>
  </si>
  <si>
    <t>- nebenaudojami dėl duomenų trūkumo</t>
  </si>
  <si>
    <t>Scenarijus 1</t>
  </si>
  <si>
    <t>tuščiam</t>
  </si>
  <si>
    <t>Scenarijus 2</t>
  </si>
  <si>
    <t>Scenarijus 3</t>
  </si>
  <si>
    <t>Scenarijus 4</t>
  </si>
  <si>
    <t>Scenarijus 5</t>
  </si>
  <si>
    <t>Scenarijus 6</t>
  </si>
  <si>
    <t>helper</t>
  </si>
  <si>
    <t>N1</t>
  </si>
  <si>
    <t>N2/N3</t>
  </si>
  <si>
    <t>M3</t>
  </si>
  <si>
    <t>M2</t>
  </si>
  <si>
    <t>LENGVOSIOS KELEIVINĖS TRANSPORTO PRIEMONĖS</t>
  </si>
  <si>
    <t>Euro standartų dropdown</t>
  </si>
  <si>
    <t xml:space="preserve"> benzinas ir dyzelis</t>
  </si>
  <si>
    <t>dujos</t>
  </si>
  <si>
    <t>Euro 1</t>
  </si>
  <si>
    <t>Euro 2</t>
  </si>
  <si>
    <t>Euro 3</t>
  </si>
  <si>
    <t>Euro 4</t>
  </si>
  <si>
    <t>Euro 5</t>
  </si>
  <si>
    <t>Euro 6 a/b/c</t>
  </si>
  <si>
    <t>Euro 6 - EC 715/2007</t>
  </si>
  <si>
    <t>Euro 6 d-temp</t>
  </si>
  <si>
    <t>Euro 6 d</t>
  </si>
  <si>
    <t>EF</t>
  </si>
  <si>
    <t>FC nebereikalingi</t>
  </si>
  <si>
    <t>Dropdown:</t>
  </si>
  <si>
    <t>NH3 g/km</t>
  </si>
  <si>
    <t>Helper</t>
  </si>
  <si>
    <t>FC g/km</t>
  </si>
  <si>
    <t>B - Skaičiavimas</t>
  </si>
  <si>
    <t>P - Skaičiavimas</t>
  </si>
  <si>
    <t>Skirtumas</t>
  </si>
  <si>
    <t>kt</t>
  </si>
  <si>
    <t>Dyzelinas</t>
  </si>
  <si>
    <t>Dujos</t>
  </si>
  <si>
    <t>Hibridas</t>
  </si>
  <si>
    <t>Suslėgtos gamt. dujos</t>
  </si>
  <si>
    <t>E85 dujos</t>
  </si>
  <si>
    <t>NMVOC g/km</t>
  </si>
  <si>
    <t>NOx g/km</t>
  </si>
  <si>
    <t>PM2.5 g/km</t>
  </si>
  <si>
    <t>Lengvosios komercinės transporto priemonės</t>
  </si>
  <si>
    <t>benzinas ir dyzelis</t>
  </si>
  <si>
    <t>Sunkiosios transporto priemonės:</t>
  </si>
  <si>
    <t>benzinas</t>
  </si>
  <si>
    <t>Conventional</t>
  </si>
  <si>
    <t>Euro I</t>
  </si>
  <si>
    <t>Euro II</t>
  </si>
  <si>
    <t>Euro III</t>
  </si>
  <si>
    <t>Euro IV</t>
  </si>
  <si>
    <t>Euro V</t>
  </si>
  <si>
    <t>Euro VI A/B/C</t>
  </si>
  <si>
    <t>Euro VI D/E</t>
  </si>
  <si>
    <t>Benzinas (TP svoris &gt; 3,5 t)</t>
  </si>
  <si>
    <t>Dyzelinas (TP svoris &lt;= 7,5 t)</t>
  </si>
  <si>
    <t>Dyzelinas (TP svoris 7,5 - 16 t)</t>
  </si>
  <si>
    <t>Dyzelinas (TP svoris 16 - 32 t)</t>
  </si>
  <si>
    <t>Dyzelinas (TP svoris &gt; 32 t)</t>
  </si>
  <si>
    <t>Dyzelinas(TP svoris 16 - 32 t)</t>
  </si>
  <si>
    <t>Autobusai M3, M2</t>
  </si>
  <si>
    <t>Autobusai M3</t>
  </si>
  <si>
    <t>Dujos (miesto autobusai)</t>
  </si>
  <si>
    <t>Dyzelinas (miesto autobusai)</t>
  </si>
  <si>
    <t>Dyzelinas (trapmiestiniai autobusai)</t>
  </si>
  <si>
    <t>N.A.</t>
  </si>
  <si>
    <t>EMISIJOS FAKTORIAI</t>
  </si>
  <si>
    <t>Emisijos faktoriai imti iš (nuo 25 psl): https://www.eea.europa.eu/publications/emep-eea-guidebook-2023/part-b-sectoral-guidance-chapters/1-energy/1-a-combustion/1-a-3-b-i/view</t>
  </si>
  <si>
    <t>Visi emisijos faktoriai ir skaičiavimų formulė buvo imti TIER2. Emisijos standartai skiriasi pagal TP kategoriją, kuro tipą ir emisijos standartus.</t>
  </si>
  <si>
    <r>
      <rPr>
        <b/>
        <sz val="11"/>
        <color rgb="FF000000"/>
        <rFont val="Calibri"/>
        <family val="2"/>
        <charset val="186"/>
      </rPr>
      <t>Dėmesio:</t>
    </r>
    <r>
      <rPr>
        <sz val="11"/>
        <color rgb="FF000000"/>
        <rFont val="Calibri"/>
        <family val="2"/>
        <charset val="186"/>
      </rPr>
      <t xml:space="preserve"> - lengvųjų keleivinių transporto priemonių (LKTP) benzino (petrol mini, petrol small, petrol medium, petrol large-suv-executive) EF buvo suvidurkinti, ir dyzelio (diesel small, diesel medium, diesel large-suv-executive) EF buvo suvidurkinti, taigi, naudojami emisijos faktoriai LKTP benzinui ir dyzeliui (dar išskirstyti pagal emisijos standartus). Tai nėra tas pats, kaip vidurkio pasirinkimas emisijos faktorių sąraše skaičiuoklėje. Vidurkio pasirinkimas sąraše yra visų emisijos standartų emisijos faktorių vidurkis lengvosioms keleivinėms transporto priemonėms ir atitinkamai kuro rūšiai (benzinui arba dyzeliui).</t>
    </r>
  </si>
  <si>
    <t>TP klasė</t>
  </si>
  <si>
    <t>Degalų rūšis</t>
  </si>
  <si>
    <t>Duomenų šaltinis</t>
  </si>
  <si>
    <t>M1 - Lengvieji keleiviniai automobiliai</t>
  </si>
  <si>
    <t>Valstybės Įmonė „REGITRA“, 2024 m. sausio 1 d. duomenys</t>
  </si>
  <si>
    <t>N1 - Lengvieji komerciniai automobiliai</t>
  </si>
  <si>
    <t>N2 - Sunkiosios transporto priemonės</t>
  </si>
  <si>
    <t>N3 - Sunkiosios transporto priemonės</t>
  </si>
  <si>
    <t>M3 - Autobusai</t>
  </si>
  <si>
    <t>M2 - Autobusai</t>
  </si>
  <si>
    <t>SKAIČIUOKLĖS ATNAUJINIMO ISTORIJA</t>
  </si>
  <si>
    <t>Skaičiuoklės versijos ID*</t>
  </si>
  <si>
    <t>Atnaujinimo data</t>
  </si>
  <si>
    <t>Administratorius</t>
  </si>
  <si>
    <t>Pastabos</t>
  </si>
  <si>
    <t xml:space="preserve"> v 1.0.</t>
  </si>
  <si>
    <t>2024.03.01</t>
  </si>
  <si>
    <t>AAA Aplinkos būklės analitikos centras</t>
  </si>
  <si>
    <t>Pirmos versijos viešinimas</t>
  </si>
  <si>
    <t>* nuolat naujinama</t>
  </si>
  <si>
    <t>2025.12.19</t>
  </si>
  <si>
    <t>Versijos viešinimas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</si>
</sst>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
    <numFmt numFmtId="166" formatCode="0.000000"/>
  </numFmts>
  <fonts count="41">
    <font>
      <sz val="11"/>
      <color theme="1"/>
      <name val="Calibri"/>
      <family val="2"/>
      <charset val="186"/>
      <scheme val="minor"/>
    </font>
    <font>
      <sz val="11"/>
      <name val="Calibri"/>
      <family val="2"/>
      <charset val="186"/>
      <scheme val="minor"/>
    </font>
    <font>
      <u/>
      <sz val="11"/>
      <name val="Calibri"/>
      <family val="2"/>
      <charset val="186"/>
      <scheme val="minor"/>
    </font>
    <font>
      <b/>
      <u/>
      <sz val="11"/>
      <name val="Calibri"/>
      <family val="2"/>
      <charset val="186"/>
      <scheme val="minor"/>
    </font>
    <font>
      <b/>
      <sz val="11"/>
      <name val="Calibri"/>
      <family val="2"/>
      <charset val="186"/>
      <scheme val="minor"/>
    </font>
    <font>
      <b/>
      <sz val="11"/>
      <color theme="2" tint="-0.499984740745262"/>
      <name val="Calibri"/>
      <family val="2"/>
      <charset val="186"/>
      <scheme val="minor"/>
    </font>
    <font>
      <b/>
      <sz val="10"/>
      <color rgb="FF449962"/>
      <name val="Calibri"/>
      <family val="2"/>
      <scheme val="minor"/>
    </font>
    <font>
      <b/>
      <i/>
      <sz val="11"/>
      <name val="Calibri"/>
      <family val="2"/>
      <charset val="186"/>
      <scheme val="minor"/>
    </font>
    <font>
      <b/>
      <sz val="11"/>
      <color theme="1"/>
      <name val="Calibri"/>
      <family val="2"/>
      <charset val="186"/>
      <scheme val="minor"/>
    </font>
    <font>
      <sz val="11"/>
      <color rgb="FF808080"/>
      <name val="Calibri"/>
      <family val="2"/>
      <charset val="186"/>
      <scheme val="minor"/>
    </font>
    <font>
      <sz val="14"/>
      <color indexed="55"/>
      <name val="Calibri"/>
      <family val="2"/>
      <charset val="186"/>
      <scheme val="minor"/>
    </font>
    <font>
      <sz val="10"/>
      <color indexed="55"/>
      <name val="Calibri"/>
      <family val="2"/>
      <charset val="186"/>
      <scheme val="minor"/>
    </font>
    <font>
      <b/>
      <sz val="14"/>
      <color rgb="FF0F5031"/>
      <name val="Calibri"/>
      <family val="2"/>
      <charset val="186"/>
      <scheme val="minor"/>
    </font>
    <font>
      <sz val="14"/>
      <color theme="1"/>
      <name val="Calibri"/>
      <family val="2"/>
      <charset val="186"/>
      <scheme val="minor"/>
    </font>
    <font>
      <b/>
      <sz val="12"/>
      <color theme="3"/>
      <name val="Calibri"/>
      <family val="2"/>
      <charset val="186"/>
      <scheme val="minor"/>
    </font>
    <font>
      <sz val="12"/>
      <color theme="1"/>
      <name val="Calibri"/>
      <family val="2"/>
      <charset val="186"/>
      <scheme val="minor"/>
    </font>
    <font>
      <sz val="14"/>
      <name val="Calibri"/>
      <family val="2"/>
      <charset val="186"/>
      <scheme val="minor"/>
    </font>
    <font>
      <b/>
      <sz val="11"/>
      <color rgb="FF0F5031"/>
      <name val="YAFcfhdOoGk 0"/>
    </font>
    <font>
      <sz val="14"/>
      <color rgb="FFA5D8B7"/>
      <name val="Calibri"/>
      <family val="2"/>
      <charset val="186"/>
      <scheme val="minor"/>
    </font>
    <font>
      <b/>
      <sz val="14"/>
      <color rgb="FF0DA378"/>
      <name val="Calibri"/>
      <family val="2"/>
      <charset val="186"/>
      <scheme val="minor"/>
    </font>
    <font>
      <sz val="9"/>
      <color rgb="FF808080"/>
      <name val="Palemonas"/>
    </font>
    <font>
      <sz val="9"/>
      <color rgb="FF8FCEA5"/>
      <name val="Palemon"/>
    </font>
    <font>
      <i/>
      <sz val="10"/>
      <color theme="9" tint="-0.249977111117893"/>
      <name val="Palemon"/>
    </font>
    <font>
      <sz val="11"/>
      <color rgb="FF8FCEA5"/>
      <name val="Calibri"/>
      <family val="2"/>
      <charset val="186"/>
      <scheme val="minor"/>
    </font>
    <font>
      <i/>
      <sz val="10"/>
      <color theme="1" tint="-0.249977111117893"/>
      <name val="Palemon"/>
    </font>
    <font>
      <sz val="11"/>
      <color theme="9" tint="-0.749992370372631"/>
      <name val="Calibri"/>
      <family val="2"/>
      <charset val="186"/>
      <scheme val="minor"/>
    </font>
    <font>
      <sz val="11"/>
      <color rgb="FFFFFFFF"/>
      <name val="Calibri"/>
      <family val="2"/>
      <charset val="186"/>
      <scheme val="minor"/>
    </font>
    <font>
      <strike/>
      <sz val="11"/>
      <name val="Calibri"/>
      <family val="2"/>
      <charset val="186"/>
      <scheme val="minor"/>
    </font>
    <font>
      <sz val="10"/>
      <name val="Calibri"/>
      <family val="2"/>
      <charset val="186"/>
      <scheme val="minor"/>
    </font>
    <font>
      <sz val="11"/>
      <color rgb="FF000000"/>
      <name val="Calibri"/>
      <family val="2"/>
      <charset val="186"/>
    </font>
    <font>
      <b/>
      <sz val="11"/>
      <color rgb="FF000000"/>
      <name val="Calibri"/>
      <family val="2"/>
      <charset val="186"/>
    </font>
    <font>
      <sz val="8"/>
      <name val="Calibri"/>
      <family val="2"/>
      <charset val="186"/>
      <scheme val="minor"/>
    </font>
    <font>
      <b/>
      <sz val="11"/>
      <color rgb="FFFFFFFF"/>
      <name val="Calibri"/>
      <family val="2"/>
      <charset val="186"/>
      <scheme val="minor"/>
    </font>
    <font>
      <b/>
      <sz val="11"/>
      <color theme="6" tint="-0.749992370372631"/>
      <name val="Calibri"/>
      <family val="2"/>
      <scheme val="minor"/>
    </font>
    <font>
      <sz val="11"/>
      <color theme="6" tint="-0.749992370372631"/>
      <name val="Calibri"/>
      <family val="2"/>
      <scheme val="minor"/>
    </font>
    <font>
      <sz val="11"/>
      <color theme="6" tint="-0.749992370372631"/>
      <name val="Calibri"/>
      <family val="2"/>
      <charset val="186"/>
      <scheme val="minor"/>
    </font>
    <font>
      <b/>
      <sz val="11"/>
      <color theme="6" tint="-0.749992370372631"/>
      <name val="Calibri"/>
      <family val="2"/>
      <charset val="186"/>
      <scheme val="minor"/>
    </font>
    <font>
      <b/>
      <sz val="11"/>
      <color theme="6" tint="-0.749992370372631"/>
      <name val="Calibri"/>
      <family val="2"/>
      <charset val="186"/>
    </font>
    <font>
      <b/>
      <sz val="8"/>
      <color theme="6" tint="-0.749992370372631"/>
      <name val="Calibri"/>
      <family val="2"/>
      <charset val="186"/>
    </font>
    <font>
      <b/>
      <sz val="9"/>
      <color theme="6" tint="-0.749992370372631"/>
      <name val="Calibri"/>
      <family val="2"/>
      <charset val="186"/>
    </font>
    <font>
      <sz val="10"/>
      <color theme="6" tint="-0.749992370372631"/>
      <name val="Calibri"/>
      <family val="2"/>
      <charset val="186"/>
      <scheme val="minor"/>
    </font>
  </fonts>
  <fills count="11">
    <fill>
      <patternFill patternType="none"/>
    </fill>
    <fill>
      <patternFill patternType="gray125"/>
    </fill>
    <fill>
      <patternFill patternType="solid">
        <fgColor theme="6"/>
        <bgColor indexed="64"/>
      </patternFill>
    </fill>
    <fill>
      <patternFill patternType="solid">
        <fgColor rgb="FFCBC8C7"/>
        <bgColor indexed="64"/>
      </patternFill>
    </fill>
    <fill>
      <patternFill patternType="solid">
        <fgColor rgb="FFFFFFFF"/>
        <bgColor indexed="64"/>
      </patternFill>
    </fill>
    <fill>
      <patternFill patternType="solid">
        <fgColor rgb="FFFFFFFF"/>
        <bgColor rgb="FF000000"/>
      </patternFill>
    </fill>
    <fill>
      <patternFill patternType="solid">
        <fgColor rgb="FFF4FAF6"/>
        <bgColor rgb="FF000000"/>
      </patternFill>
    </fill>
    <fill>
      <patternFill patternType="solid">
        <fgColor theme="8" tint="0.79998168889431442"/>
        <bgColor indexed="64"/>
      </patternFill>
    </fill>
    <fill>
      <patternFill patternType="solid">
        <fgColor theme="1" tint="0.59999389629810485"/>
        <bgColor indexed="64"/>
      </patternFill>
    </fill>
    <fill>
      <patternFill patternType="solid">
        <fgColor theme="1" tint="0.39997558519241921"/>
        <bgColor indexed="64"/>
      </patternFill>
    </fill>
    <fill>
      <patternFill patternType="solid">
        <fgColor theme="6"/>
        <bgColor rgb="FF000000"/>
      </patternFill>
    </fill>
  </fills>
  <borders count="78">
    <border>
      <left/>
      <right/>
      <top/>
      <bottom/>
      <diagonal/>
    </border>
    <border>
      <left style="dashed">
        <color rgb="FFCBC8C7"/>
      </left>
      <right style="dashed">
        <color rgb="FFCBC8C7"/>
      </right>
      <top style="dashed">
        <color rgb="FFCBC8C7"/>
      </top>
      <bottom style="dashed">
        <color rgb="FFCBC8C7"/>
      </bottom>
      <diagonal/>
    </border>
    <border>
      <left/>
      <right style="dashed">
        <color rgb="FFCBC8C7"/>
      </right>
      <top style="dashed">
        <color rgb="FFCBC8C7"/>
      </top>
      <bottom style="dashed">
        <color rgb="FFCBC8C7"/>
      </bottom>
      <diagonal/>
    </border>
    <border>
      <left/>
      <right/>
      <top style="dashed">
        <color rgb="FFCBC8C7"/>
      </top>
      <bottom style="dashed">
        <color rgb="FFCBC8C7"/>
      </bottom>
      <diagonal/>
    </border>
    <border>
      <left style="dashed">
        <color rgb="FFCBC8C7"/>
      </left>
      <right/>
      <top style="dashed">
        <color rgb="FFCBC8C7"/>
      </top>
      <bottom style="dashed">
        <color rgb="FFCBC8C7"/>
      </bottom>
      <diagonal/>
    </border>
    <border>
      <left/>
      <right style="thin">
        <color indexed="64"/>
      </right>
      <top/>
      <bottom style="thin">
        <color indexed="64"/>
      </bottom>
      <diagonal/>
    </border>
    <border>
      <left/>
      <right/>
      <top/>
      <bottom style="thin">
        <color indexed="64"/>
      </bottom>
      <diagonal/>
    </border>
    <border>
      <left/>
      <right/>
      <top style="medium">
        <color theme="8" tint="-0.249977111117893"/>
      </top>
      <bottom style="thin">
        <color indexed="64"/>
      </bottom>
      <diagonal/>
    </border>
    <border>
      <left style="thin">
        <color indexed="64"/>
      </left>
      <right/>
      <top/>
      <bottom style="thin">
        <color indexed="64"/>
      </bottom>
      <diagonal/>
    </border>
    <border>
      <left/>
      <right style="thin">
        <color indexed="64"/>
      </right>
      <top/>
      <bottom/>
      <diagonal/>
    </border>
    <border>
      <left style="dashed">
        <color rgb="FFCBC8C7"/>
      </left>
      <right style="dashed">
        <color rgb="FFCBC8C7"/>
      </right>
      <top style="dashed">
        <color rgb="FFCBC8C7"/>
      </top>
      <bottom style="medium">
        <color theme="0"/>
      </bottom>
      <diagonal/>
    </border>
    <border>
      <left style="thin">
        <color rgb="FFCBC8C7"/>
      </left>
      <right style="dashed">
        <color rgb="FFCBC8C7"/>
      </right>
      <top style="dashed">
        <color rgb="FFCBC8C7"/>
      </top>
      <bottom style="dashed">
        <color rgb="FFCBC8C7"/>
      </bottom>
      <diagonal/>
    </border>
    <border>
      <left style="thin">
        <color rgb="FFCBC8C7"/>
      </left>
      <right style="thin">
        <color rgb="FFCBC8C7"/>
      </right>
      <top style="dashed">
        <color rgb="FFCBC8C7"/>
      </top>
      <bottom style="dashed">
        <color rgb="FFCBC8C7"/>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rgb="FFCBC8C7"/>
      </left>
      <right style="thin">
        <color indexed="64"/>
      </right>
      <top style="thin">
        <color indexed="64"/>
      </top>
      <bottom style="thin">
        <color indexed="64"/>
      </bottom>
      <diagonal/>
    </border>
    <border>
      <left style="thin">
        <color indexed="64"/>
      </left>
      <right/>
      <top/>
      <bottom/>
      <diagonal/>
    </border>
    <border>
      <left style="thin">
        <color rgb="FFCBC8C7"/>
      </left>
      <right style="thin">
        <color rgb="FFCBC8C7"/>
      </right>
      <top style="dashed">
        <color rgb="FFCBC8C7"/>
      </top>
      <bottom/>
      <diagonal/>
    </border>
    <border>
      <left style="dashed">
        <color rgb="FFCBC8C7"/>
      </left>
      <right style="dashed">
        <color rgb="FFCBC8C7"/>
      </right>
      <top/>
      <bottom style="dashed">
        <color rgb="FFCBC8C7"/>
      </bottom>
      <diagonal/>
    </border>
    <border>
      <left style="dashed">
        <color rgb="FFCBC8C7"/>
      </left>
      <right style="thin">
        <color indexed="64"/>
      </right>
      <top/>
      <bottom/>
      <diagonal/>
    </border>
    <border>
      <left style="dashed">
        <color rgb="FFCBC8C7"/>
      </left>
      <right style="dashed">
        <color rgb="FFCBC8C7"/>
      </right>
      <top style="dashed">
        <color rgb="FFCBC8C7"/>
      </top>
      <bottom style="medium">
        <color theme="8" tint="-0.249977111117893"/>
      </bottom>
      <diagonal/>
    </border>
    <border>
      <left/>
      <right style="dashed">
        <color rgb="FFCBC8C7"/>
      </right>
      <top style="dashed">
        <color rgb="FFCBC8C7"/>
      </top>
      <bottom style="medium">
        <color theme="8" tint="-0.249977111117893"/>
      </bottom>
      <diagonal/>
    </border>
    <border>
      <left style="thin">
        <color rgb="FFCBC8C7"/>
      </left>
      <right style="thin">
        <color rgb="FFCBC8C7"/>
      </right>
      <top/>
      <bottom style="medium">
        <color theme="8" tint="-0.249977111117893"/>
      </bottom>
      <diagonal/>
    </border>
    <border>
      <left/>
      <right/>
      <top/>
      <bottom style="medium">
        <color theme="8" tint="-0.249977111117893"/>
      </bottom>
      <diagonal/>
    </border>
    <border>
      <left style="dashed">
        <color rgb="FFCBC8C7"/>
      </left>
      <right/>
      <top/>
      <bottom style="medium">
        <color theme="8" tint="-0.249977111117893"/>
      </bottom>
      <diagonal/>
    </border>
    <border>
      <left style="thin">
        <color rgb="FFCBC8C7"/>
      </left>
      <right style="thin">
        <color rgb="FFCBC8C7"/>
      </right>
      <top style="thin">
        <color rgb="FFCBC8C7"/>
      </top>
      <bottom style="dashed">
        <color rgb="FFCBC8C7"/>
      </bottom>
      <diagonal/>
    </border>
    <border>
      <left style="thin">
        <color rgb="FFCBC8C7"/>
      </left>
      <right style="thin">
        <color rgb="FFCBC8C7"/>
      </right>
      <top style="thin">
        <color rgb="FFCBC8C7"/>
      </top>
      <bottom/>
      <diagonal/>
    </border>
    <border>
      <left style="dashed">
        <color rgb="FFCBC8C7"/>
      </left>
      <right style="thin">
        <color rgb="FFCBC8C7"/>
      </right>
      <top style="thin">
        <color rgb="FFCBC8C7"/>
      </top>
      <bottom style="dashed">
        <color rgb="FFCBC8C7"/>
      </bottom>
      <diagonal/>
    </border>
    <border>
      <left style="dashed">
        <color rgb="FFCBC8C7"/>
      </left>
      <right style="dashed">
        <color rgb="FFCBC8C7"/>
      </right>
      <top style="thin">
        <color rgb="FFCBC8C7"/>
      </top>
      <bottom style="dashed">
        <color rgb="FFCBC8C7"/>
      </bottom>
      <diagonal/>
    </border>
    <border>
      <left style="dashed">
        <color rgb="FFCBC8C7"/>
      </left>
      <right/>
      <top style="double">
        <color theme="8" tint="-0.249977111117893"/>
      </top>
      <bottom style="dashed">
        <color rgb="FFCBC8C7"/>
      </bottom>
      <diagonal/>
    </border>
    <border>
      <left/>
      <right/>
      <top style="double">
        <color theme="8" tint="-0.249977111117893"/>
      </top>
      <bottom/>
      <diagonal/>
    </border>
    <border>
      <left style="thin">
        <color rgb="FFCBC8C7"/>
      </left>
      <right style="dashed">
        <color rgb="FFCBC8C7"/>
      </right>
      <top style="double">
        <color theme="8" tint="-0.249977111117893"/>
      </top>
      <bottom style="dashed">
        <color rgb="FFCBC8C7"/>
      </bottom>
      <diagonal/>
    </border>
    <border>
      <left style="medium">
        <color rgb="FFCBC8C7"/>
      </left>
      <right/>
      <top style="double">
        <color theme="8" tint="-0.249977111117893"/>
      </top>
      <bottom/>
      <diagonal/>
    </border>
    <border>
      <left style="thin">
        <color indexed="64"/>
      </left>
      <right style="medium">
        <color rgb="FFCBC8C7"/>
      </right>
      <top style="double">
        <color theme="8" tint="-0.249977111117893"/>
      </top>
      <bottom style="thin">
        <color rgb="FFCBC8C7"/>
      </bottom>
      <diagonal/>
    </border>
    <border>
      <left style="thin">
        <color indexed="64"/>
      </left>
      <right style="thin">
        <color indexed="64"/>
      </right>
      <top style="double">
        <color theme="8" tint="-0.249977111117893"/>
      </top>
      <bottom style="thin">
        <color rgb="FFCBC8C7"/>
      </bottom>
      <diagonal/>
    </border>
    <border>
      <left style="dashed">
        <color rgb="FFCBC8C7"/>
      </left>
      <right style="thin">
        <color indexed="64"/>
      </right>
      <top style="double">
        <color theme="8" tint="-0.249977111117893"/>
      </top>
      <bottom style="thin">
        <color rgb="FFCBC8C7"/>
      </bottom>
      <diagonal/>
    </border>
    <border>
      <left style="dashed">
        <color rgb="FFCBC8C7"/>
      </left>
      <right/>
      <top style="double">
        <color theme="8" tint="-0.249977111117893"/>
      </top>
      <bottom style="double">
        <color theme="8" tint="-0.249977111117893"/>
      </bottom>
      <diagonal/>
    </border>
    <border>
      <left style="thin">
        <color rgb="FFCBC8C7"/>
      </left>
      <right style="dashed">
        <color rgb="FFCBC8C7"/>
      </right>
      <top style="double">
        <color theme="8" tint="-0.249977111117893"/>
      </top>
      <bottom style="double">
        <color theme="8" tint="-0.249977111117893"/>
      </bottom>
      <diagonal/>
    </border>
    <border>
      <left style="thin">
        <color indexed="64"/>
      </left>
      <right style="dashed">
        <color rgb="FFCBC8C7"/>
      </right>
      <top/>
      <bottom/>
      <diagonal/>
    </border>
    <border>
      <left/>
      <right/>
      <top/>
      <bottom style="double">
        <color theme="8" tint="-0.249977111117893"/>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dashed">
        <color rgb="FFCBC8C7"/>
      </left>
      <right/>
      <top style="thin">
        <color rgb="FFFFFFFF"/>
      </top>
      <bottom/>
      <diagonal/>
    </border>
    <border>
      <left style="dashed">
        <color rgb="FFCBC8C7"/>
      </left>
      <right style="dashed">
        <color rgb="FFCBC8C7"/>
      </right>
      <top style="dashed">
        <color rgb="FFCBC8C7"/>
      </top>
      <bottom/>
      <diagonal/>
    </border>
    <border>
      <left style="thin">
        <color rgb="FFFFFFFF"/>
      </left>
      <right style="thin">
        <color rgb="FFCBC8C7"/>
      </right>
      <top style="thin">
        <color rgb="FFFFFFFF"/>
      </top>
      <bottom/>
      <diagonal/>
    </border>
    <border>
      <left style="dashed">
        <color rgb="FFCBC8C7"/>
      </left>
      <right style="thin">
        <color rgb="FFCBC8C7"/>
      </right>
      <top style="dashed">
        <color rgb="FFCBC8C7"/>
      </top>
      <bottom/>
      <diagonal/>
    </border>
    <border>
      <left style="dashed">
        <color rgb="FFCBC8C7"/>
      </left>
      <right/>
      <top style="thin">
        <color rgb="FFC0C0C0"/>
      </top>
      <bottom/>
      <diagonal/>
    </border>
    <border>
      <left/>
      <right/>
      <top style="thin">
        <color rgb="FFC0C0C0"/>
      </top>
      <bottom/>
      <diagonal/>
    </border>
    <border>
      <left/>
      <right style="thin">
        <color rgb="FFCBC8C7"/>
      </right>
      <top style="thin">
        <color rgb="FFC0C0C0"/>
      </top>
      <bottom/>
      <diagonal/>
    </border>
    <border>
      <left/>
      <right style="thin">
        <color rgb="FFCBC8C7"/>
      </right>
      <top/>
      <bottom style="medium">
        <color theme="8" tint="-0.249977111117893"/>
      </bottom>
      <diagonal/>
    </border>
    <border>
      <left style="thin">
        <color rgb="FFFFFFFF"/>
      </left>
      <right style="thin">
        <color rgb="FFFFFFFF"/>
      </right>
      <top style="thin">
        <color rgb="FFFFFFFF"/>
      </top>
      <bottom style="thin">
        <color rgb="FFC0C0C0"/>
      </bottom>
      <diagonal/>
    </border>
    <border>
      <left style="thin">
        <color rgb="FFCBC8C7"/>
      </left>
      <right style="thin">
        <color rgb="FFCBC8C7"/>
      </right>
      <top style="dashed">
        <color rgb="FFC0C0C0"/>
      </top>
      <bottom style="thin">
        <color rgb="FFCBC8C7"/>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thin">
        <color rgb="FFB2B2B2"/>
      </top>
      <bottom/>
      <diagonal/>
    </border>
    <border>
      <left style="thin">
        <color rgb="FFB2B2B2"/>
      </left>
      <right/>
      <top/>
      <bottom/>
      <diagonal/>
    </border>
    <border>
      <left style="thin">
        <color rgb="FFB2B2B2"/>
      </left>
      <right/>
      <top style="thin">
        <color rgb="FFB2B2B2"/>
      </top>
      <bottom style="thin">
        <color rgb="FFB2B2B2"/>
      </bottom>
      <diagonal/>
    </border>
    <border>
      <left style="thin">
        <color rgb="FFB2B2B2"/>
      </left>
      <right style="thin">
        <color rgb="FFB2B2B2"/>
      </right>
      <top/>
      <bottom style="thin">
        <color rgb="FFB2B2B2"/>
      </bottom>
      <diagonal/>
    </border>
    <border>
      <left/>
      <right/>
      <top style="medium">
        <color theme="0"/>
      </top>
      <bottom style="thin">
        <color indexed="64"/>
      </bottom>
      <diagonal/>
    </border>
    <border>
      <left style="dashed">
        <color rgb="FFC0C0C0"/>
      </left>
      <right/>
      <top/>
      <bottom/>
      <diagonal/>
    </border>
    <border>
      <left style="dotted">
        <color rgb="FFC0C0C0"/>
      </left>
      <right style="dotted">
        <color rgb="FFC0C0C0"/>
      </right>
      <top style="dotted">
        <color rgb="FFC0C0C0"/>
      </top>
      <bottom style="dotted">
        <color rgb="FFC0C0C0"/>
      </bottom>
      <diagonal/>
    </border>
    <border>
      <left style="dotted">
        <color rgb="FFC0C0C0"/>
      </left>
      <right style="dotted">
        <color rgb="FFC0C0C0"/>
      </right>
      <top style="double">
        <color theme="8" tint="-0.249977111117893"/>
      </top>
      <bottom style="dotted">
        <color rgb="FFC0C0C0"/>
      </bottom>
      <diagonal/>
    </border>
    <border>
      <left style="dotted">
        <color rgb="FFC0C0C0"/>
      </left>
      <right style="dotted">
        <color rgb="FFC0C0C0"/>
      </right>
      <top/>
      <bottom style="dotted">
        <color rgb="FFC0C0C0"/>
      </bottom>
      <diagonal/>
    </border>
    <border>
      <left style="dotted">
        <color rgb="FFC0C0C0"/>
      </left>
      <right style="dotted">
        <color rgb="FFC0C0C0"/>
      </right>
      <top style="dotted">
        <color rgb="FFC0C0C0"/>
      </top>
      <bottom style="double">
        <color theme="8" tint="-0.249977111117893"/>
      </bottom>
      <diagonal/>
    </border>
    <border>
      <left/>
      <right/>
      <top style="medium">
        <color theme="8" tint="-0.249977111117893"/>
      </top>
      <bottom/>
      <diagonal/>
    </border>
    <border>
      <left style="dotted">
        <color rgb="FFC0C0C0"/>
      </left>
      <right/>
      <top/>
      <bottom/>
      <diagonal/>
    </border>
    <border>
      <left style="dotted">
        <color rgb="FFC0C0C0"/>
      </left>
      <right style="dotted">
        <color rgb="FFC0C0C0"/>
      </right>
      <top style="dotted">
        <color rgb="FFC0C0C0"/>
      </top>
      <bottom style="dashed">
        <color rgb="FFC0C0C0"/>
      </bottom>
      <diagonal/>
    </border>
    <border>
      <left style="dashed">
        <color rgb="FFC0C0C0"/>
      </left>
      <right/>
      <top style="double">
        <color theme="8" tint="-0.249977111117893"/>
      </top>
      <bottom/>
      <diagonal/>
    </border>
    <border>
      <left style="dotted">
        <color rgb="FFC0C0C0"/>
      </left>
      <right/>
      <top/>
      <bottom style="dotted">
        <color rgb="FFC0C0C0"/>
      </bottom>
      <diagonal/>
    </border>
    <border>
      <left style="dotted">
        <color rgb="FFC0C0C0"/>
      </left>
      <right/>
      <top style="dotted">
        <color rgb="FFC0C0C0"/>
      </top>
      <bottom style="dotted">
        <color rgb="FFC0C0C0"/>
      </bottom>
      <diagonal/>
    </border>
    <border>
      <left style="dotted">
        <color rgb="FFC0C0C0"/>
      </left>
      <right/>
      <top style="dotted">
        <color rgb="FFC0C0C0"/>
      </top>
      <bottom/>
      <diagonal/>
    </border>
    <border>
      <left style="dashed">
        <color rgb="FFC0C0C0"/>
      </left>
      <right style="dashed">
        <color rgb="FFC0C0C0"/>
      </right>
      <top style="dashed">
        <color rgb="FFC0C0C0"/>
      </top>
      <bottom style="medium">
        <color theme="8" tint="-0.249977111117893"/>
      </bottom>
      <diagonal/>
    </border>
    <border>
      <left style="dashed">
        <color rgb="FFC0C0C0"/>
      </left>
      <right/>
      <top style="dashed">
        <color rgb="FFC0C0C0"/>
      </top>
      <bottom style="medium">
        <color theme="8" tint="-0.249977111117893"/>
      </bottom>
      <diagonal/>
    </border>
    <border>
      <left/>
      <right/>
      <top style="dashed">
        <color rgb="FFC0C0C0"/>
      </top>
      <bottom style="medium">
        <color theme="8" tint="-0.249977111117893"/>
      </bottom>
      <diagonal/>
    </border>
    <border>
      <left/>
      <right style="dashed">
        <color rgb="FFC0C0C0"/>
      </right>
      <top style="dashed">
        <color rgb="FFC0C0C0"/>
      </top>
      <bottom style="medium">
        <color theme="8" tint="-0.249977111117893"/>
      </bottom>
      <diagonal/>
    </border>
    <border>
      <left/>
      <right/>
      <top style="double">
        <color theme="8" tint="-0.249977111117893"/>
      </top>
      <bottom style="double">
        <color theme="8" tint="-0.249977111117893"/>
      </bottom>
      <diagonal/>
    </border>
    <border>
      <left/>
      <right style="thin">
        <color rgb="FFCBC8C7"/>
      </right>
      <top style="double">
        <color theme="8" tint="-0.249977111117893"/>
      </top>
      <bottom style="double">
        <color theme="8" tint="-0.249977111117893"/>
      </bottom>
      <diagonal/>
    </border>
    <border>
      <left style="thin">
        <color rgb="FFB2B2B2"/>
      </left>
      <right style="thin">
        <color rgb="FFB2B2B2"/>
      </right>
      <top style="thin">
        <color rgb="FFC0C0C0"/>
      </top>
      <bottom style="thin">
        <color rgb="FFB2B2B2"/>
      </bottom>
      <diagonal/>
    </border>
  </borders>
  <cellStyleXfs count="1">
    <xf numFmtId="0" fontId="0" fillId="0" borderId="0"/>
  </cellStyleXfs>
  <cellXfs count="168">
    <xf numFmtId="0" fontId="0" fillId="0" borderId="0" xfId="0"/>
    <xf numFmtId="0" fontId="0" fillId="2" borderId="0" xfId="0" applyFill="1"/>
    <xf numFmtId="0" fontId="1" fillId="2" borderId="0" xfId="0" applyFont="1" applyFill="1"/>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3" borderId="1" xfId="0" applyFont="1" applyFill="1" applyBorder="1"/>
    <xf numFmtId="0" fontId="1" fillId="3" borderId="2" xfId="0" applyFont="1" applyFill="1" applyBorder="1"/>
    <xf numFmtId="0" fontId="1" fillId="3" borderId="3" xfId="0" applyFont="1" applyFill="1" applyBorder="1"/>
    <xf numFmtId="0" fontId="1" fillId="3" borderId="4" xfId="0" applyFont="1" applyFill="1" applyBorder="1"/>
    <xf numFmtId="0" fontId="1" fillId="3" borderId="0" xfId="0" applyFont="1" applyFill="1"/>
    <xf numFmtId="0" fontId="2" fillId="2" borderId="0" xfId="0" applyFont="1" applyFill="1"/>
    <xf numFmtId="0" fontId="0" fillId="3" borderId="0" xfId="0" applyFill="1"/>
    <xf numFmtId="0" fontId="1" fillId="0" borderId="0" xfId="0" applyFont="1"/>
    <xf numFmtId="0" fontId="3" fillId="2" borderId="0" xfId="0" applyFont="1" applyFill="1"/>
    <xf numFmtId="0" fontId="4" fillId="2" borderId="0" xfId="0" applyFont="1" applyFill="1"/>
    <xf numFmtId="0" fontId="1" fillId="2" borderId="0" xfId="0" quotePrefix="1" applyFont="1" applyFill="1"/>
    <xf numFmtId="0" fontId="0" fillId="4" borderId="5" xfId="0" applyFill="1" applyBorder="1"/>
    <xf numFmtId="0" fontId="0" fillId="4" borderId="6" xfId="0" applyFill="1" applyBorder="1"/>
    <xf numFmtId="0" fontId="0" fillId="4" borderId="7" xfId="0" applyFill="1" applyBorder="1"/>
    <xf numFmtId="0" fontId="0" fillId="4" borderId="8" xfId="0" applyFill="1" applyBorder="1"/>
    <xf numFmtId="0" fontId="0" fillId="4" borderId="9" xfId="0" applyFill="1" applyBorder="1"/>
    <xf numFmtId="0" fontId="0" fillId="4" borderId="16" xfId="0" applyFill="1" applyBorder="1"/>
    <xf numFmtId="0" fontId="0" fillId="4" borderId="19" xfId="0" applyFill="1" applyBorder="1"/>
    <xf numFmtId="0" fontId="0" fillId="4" borderId="38" xfId="0" applyFill="1" applyBorder="1"/>
    <xf numFmtId="0" fontId="0" fillId="2" borderId="1" xfId="0" applyFill="1" applyBorder="1"/>
    <xf numFmtId="0" fontId="6" fillId="5" borderId="9" xfId="0" applyFont="1" applyFill="1" applyBorder="1"/>
    <xf numFmtId="0" fontId="0" fillId="4" borderId="40" xfId="0" applyFill="1" applyBorder="1"/>
    <xf numFmtId="0" fontId="0" fillId="4" borderId="41" xfId="0" applyFill="1" applyBorder="1"/>
    <xf numFmtId="0" fontId="0" fillId="4" borderId="42" xfId="0" applyFill="1" applyBorder="1"/>
    <xf numFmtId="0" fontId="0" fillId="4" borderId="0" xfId="0" applyFill="1"/>
    <xf numFmtId="0" fontId="6" fillId="5" borderId="0" xfId="0" applyFont="1" applyFill="1"/>
    <xf numFmtId="0" fontId="7" fillId="2" borderId="0" xfId="0" applyFont="1" applyFill="1"/>
    <xf numFmtId="0" fontId="4" fillId="2" borderId="0" xfId="0" applyFont="1" applyFill="1" applyAlignment="1">
      <alignment horizontal="right"/>
    </xf>
    <xf numFmtId="0" fontId="1" fillId="2" borderId="0" xfId="0" applyFont="1" applyFill="1" applyAlignment="1">
      <alignment horizontal="center"/>
    </xf>
    <xf numFmtId="0" fontId="4" fillId="2" borderId="0" xfId="0" applyFont="1" applyFill="1" applyAlignment="1">
      <alignment horizontal="center" vertical="center"/>
    </xf>
    <xf numFmtId="0" fontId="4" fillId="2" borderId="0" xfId="0" applyFont="1" applyFill="1" applyAlignment="1">
      <alignment horizontal="center"/>
    </xf>
    <xf numFmtId="0" fontId="1" fillId="2" borderId="0" xfId="0" applyFont="1" applyFill="1" applyAlignment="1">
      <alignment horizontal="right"/>
    </xf>
    <xf numFmtId="0" fontId="1" fillId="2" borderId="0" xfId="0" applyFont="1" applyFill="1" applyAlignment="1">
      <alignment horizontal="left"/>
    </xf>
    <xf numFmtId="165" fontId="1" fillId="2" borderId="1" xfId="0" applyNumberFormat="1" applyFont="1" applyFill="1" applyBorder="1"/>
    <xf numFmtId="0" fontId="9" fillId="2" borderId="0" xfId="0" applyFont="1" applyFill="1"/>
    <xf numFmtId="0" fontId="12" fillId="2" borderId="0" xfId="0" applyFont="1" applyFill="1" applyAlignment="1">
      <alignment vertical="center"/>
    </xf>
    <xf numFmtId="0" fontId="13" fillId="2" borderId="0" xfId="0" applyFont="1" applyFill="1"/>
    <xf numFmtId="0" fontId="14" fillId="2" borderId="0" xfId="0" applyFont="1" applyFill="1"/>
    <xf numFmtId="0" fontId="15" fillId="2" borderId="0" xfId="0" applyFont="1" applyFill="1"/>
    <xf numFmtId="0" fontId="16" fillId="2" borderId="0" xfId="0" applyFont="1" applyFill="1"/>
    <xf numFmtId="0" fontId="17" fillId="2" borderId="0" xfId="0" applyFont="1" applyFill="1" applyAlignment="1">
      <alignment vertical="center"/>
    </xf>
    <xf numFmtId="0" fontId="18" fillId="2" borderId="0" xfId="0" applyFont="1" applyFill="1"/>
    <xf numFmtId="0" fontId="19" fillId="2" borderId="0" xfId="0" applyFont="1" applyFill="1"/>
    <xf numFmtId="0" fontId="8" fillId="2" borderId="0" xfId="0" applyFont="1" applyFill="1"/>
    <xf numFmtId="0" fontId="9" fillId="6" borderId="0" xfId="0" applyFont="1" applyFill="1"/>
    <xf numFmtId="0" fontId="1" fillId="2" borderId="0" xfId="0" quotePrefix="1" applyFont="1" applyFill="1" applyAlignment="1">
      <alignment horizontal="left"/>
    </xf>
    <xf numFmtId="0" fontId="4" fillId="2" borderId="0" xfId="0" quotePrefix="1" applyFont="1" applyFill="1"/>
    <xf numFmtId="2" fontId="1" fillId="2" borderId="1" xfId="0" applyNumberFormat="1" applyFont="1" applyFill="1" applyBorder="1"/>
    <xf numFmtId="0" fontId="0" fillId="4" borderId="58" xfId="0" applyFill="1" applyBorder="1"/>
    <xf numFmtId="166" fontId="1" fillId="2" borderId="1" xfId="0" applyNumberFormat="1" applyFont="1" applyFill="1" applyBorder="1"/>
    <xf numFmtId="0" fontId="1" fillId="4" borderId="1" xfId="0" applyFont="1" applyFill="1" applyBorder="1"/>
    <xf numFmtId="0" fontId="27" fillId="2" borderId="1" xfId="0" applyFont="1" applyFill="1" applyBorder="1"/>
    <xf numFmtId="0" fontId="27" fillId="3" borderId="1" xfId="0" applyFont="1" applyFill="1" applyBorder="1"/>
    <xf numFmtId="0" fontId="28" fillId="2" borderId="0" xfId="0" applyFont="1" applyFill="1"/>
    <xf numFmtId="2" fontId="27" fillId="2" borderId="1" xfId="0" applyNumberFormat="1" applyFont="1" applyFill="1" applyBorder="1"/>
    <xf numFmtId="0" fontId="1" fillId="9" borderId="0" xfId="0" applyFont="1" applyFill="1"/>
    <xf numFmtId="0" fontId="1" fillId="9" borderId="1" xfId="0" applyFont="1" applyFill="1" applyBorder="1"/>
    <xf numFmtId="0" fontId="27" fillId="9" borderId="1" xfId="0" applyFont="1" applyFill="1" applyBorder="1"/>
    <xf numFmtId="0" fontId="0" fillId="9" borderId="0" xfId="0" applyFill="1"/>
    <xf numFmtId="0" fontId="5" fillId="2" borderId="0" xfId="0" applyFont="1" applyFill="1"/>
    <xf numFmtId="0" fontId="0" fillId="2" borderId="59" xfId="0" applyFill="1" applyBorder="1"/>
    <xf numFmtId="0" fontId="0" fillId="2" borderId="64" xfId="0" applyFill="1" applyBorder="1"/>
    <xf numFmtId="0" fontId="0" fillId="2" borderId="39" xfId="0" applyFill="1" applyBorder="1"/>
    <xf numFmtId="0" fontId="10" fillId="2" borderId="0" xfId="0" applyFont="1" applyFill="1" applyAlignment="1">
      <alignment horizontal="right" vertical="top" wrapText="1" indent="5"/>
    </xf>
    <xf numFmtId="0" fontId="11" fillId="2" borderId="0" xfId="0" applyFont="1" applyFill="1" applyAlignment="1">
      <alignment horizontal="right" vertical="top" indent="5"/>
    </xf>
    <xf numFmtId="0" fontId="29" fillId="0" borderId="0" xfId="0" applyFont="1"/>
    <xf numFmtId="0" fontId="20" fillId="10" borderId="0" xfId="0" applyFont="1" applyFill="1" applyAlignment="1">
      <alignment horizontal="center" vertical="center"/>
    </xf>
    <xf numFmtId="0" fontId="21" fillId="10" borderId="0" xfId="0" applyFont="1" applyFill="1" applyAlignment="1">
      <alignment horizontal="left" vertical="center"/>
    </xf>
    <xf numFmtId="0" fontId="9" fillId="10" borderId="0" xfId="0" applyFont="1" applyFill="1"/>
    <xf numFmtId="0" fontId="22" fillId="2" borderId="0" xfId="0" applyFont="1" applyFill="1" applyAlignment="1">
      <alignment horizontal="center" vertical="center"/>
    </xf>
    <xf numFmtId="0" fontId="23" fillId="10" borderId="0" xfId="0" applyFont="1" applyFill="1"/>
    <xf numFmtId="0" fontId="24" fillId="10" borderId="0" xfId="0" applyFont="1" applyFill="1" applyAlignment="1">
      <alignment horizontal="center" vertical="center"/>
    </xf>
    <xf numFmtId="0" fontId="25" fillId="10" borderId="0" xfId="0" applyFont="1" applyFill="1"/>
    <xf numFmtId="0" fontId="26" fillId="10" borderId="0" xfId="0" applyFont="1" applyFill="1"/>
    <xf numFmtId="0" fontId="34" fillId="4" borderId="54" xfId="0" applyFont="1" applyFill="1" applyBorder="1" applyAlignment="1">
      <alignment horizontal="center" wrapText="1"/>
    </xf>
    <xf numFmtId="0" fontId="34" fillId="4" borderId="53" xfId="0" applyFont="1" applyFill="1" applyBorder="1" applyAlignment="1">
      <alignment horizontal="center" wrapText="1"/>
    </xf>
    <xf numFmtId="0" fontId="34" fillId="5" borderId="53" xfId="0" applyFont="1" applyFill="1" applyBorder="1" applyAlignment="1">
      <alignment horizontal="center"/>
    </xf>
    <xf numFmtId="0" fontId="34" fillId="5" borderId="55" xfId="0" applyFont="1" applyFill="1" applyBorder="1" applyAlignment="1">
      <alignment horizontal="center"/>
    </xf>
    <xf numFmtId="0" fontId="34" fillId="4" borderId="53" xfId="0" applyFont="1" applyFill="1" applyBorder="1"/>
    <xf numFmtId="0" fontId="34" fillId="4" borderId="57" xfId="0" applyFont="1" applyFill="1" applyBorder="1"/>
    <xf numFmtId="0" fontId="35" fillId="2" borderId="0" xfId="0" applyFont="1" applyFill="1"/>
    <xf numFmtId="0" fontId="36" fillId="0" borderId="37"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32" xfId="0" applyFont="1" applyBorder="1" applyAlignment="1">
      <alignment horizontal="left" vertical="center"/>
    </xf>
    <xf numFmtId="0" fontId="35" fillId="8" borderId="31" xfId="0" applyFont="1" applyFill="1" applyBorder="1" applyAlignment="1">
      <alignment horizontal="center" vertical="center" wrapText="1"/>
    </xf>
    <xf numFmtId="0" fontId="35" fillId="8" borderId="30" xfId="0" applyFont="1" applyFill="1" applyBorder="1" applyAlignment="1">
      <alignment horizontal="center" vertical="center" wrapText="1"/>
    </xf>
    <xf numFmtId="0" fontId="35" fillId="8" borderId="29" xfId="0" applyFont="1" applyFill="1" applyBorder="1" applyAlignment="1">
      <alignment horizontal="center" vertical="center" wrapText="1"/>
    </xf>
    <xf numFmtId="0" fontId="35" fillId="0" borderId="29" xfId="0" quotePrefix="1" applyFont="1" applyBorder="1" applyAlignment="1">
      <alignment horizontal="center" vertical="center" wrapText="1"/>
    </xf>
    <xf numFmtId="0" fontId="36" fillId="0" borderId="26" xfId="0" applyFont="1" applyBorder="1" applyAlignment="1">
      <alignment horizontal="left" vertical="center" wrapText="1"/>
    </xf>
    <xf numFmtId="0" fontId="35" fillId="7" borderId="2" xfId="0" applyFont="1" applyFill="1" applyBorder="1" applyAlignment="1">
      <alignment horizontal="center" vertical="center" wrapText="1"/>
    </xf>
    <xf numFmtId="0" fontId="35" fillId="7" borderId="1" xfId="0" applyFont="1" applyFill="1" applyBorder="1" applyAlignment="1">
      <alignment horizontal="center" vertical="center" wrapText="1"/>
    </xf>
    <xf numFmtId="0" fontId="35" fillId="0" borderId="1" xfId="0" quotePrefix="1" applyFont="1" applyBorder="1" applyAlignment="1">
      <alignment horizontal="center" vertical="center" wrapText="1"/>
    </xf>
    <xf numFmtId="0" fontId="36" fillId="0" borderId="17" xfId="0" applyFont="1" applyBorder="1" applyAlignment="1">
      <alignment vertical="center"/>
    </xf>
    <xf numFmtId="0" fontId="35" fillId="7" borderId="11" xfId="0" applyFont="1" applyFill="1" applyBorder="1" applyAlignment="1">
      <alignment horizontal="center" vertical="center" wrapText="1"/>
    </xf>
    <xf numFmtId="0" fontId="36" fillId="0" borderId="43" xfId="0" applyFont="1" applyBorder="1" applyAlignment="1">
      <alignment horizontal="center" vertical="center" wrapText="1"/>
    </xf>
    <xf numFmtId="0" fontId="36" fillId="0" borderId="51" xfId="0" applyFont="1" applyBorder="1" applyAlignment="1">
      <alignment horizontal="center" vertical="center" wrapText="1"/>
    </xf>
    <xf numFmtId="0" fontId="36" fillId="0" borderId="45" xfId="0" applyFont="1" applyBorder="1" applyAlignment="1">
      <alignment horizontal="center" vertical="center" wrapText="1"/>
    </xf>
    <xf numFmtId="0" fontId="36" fillId="0" borderId="52" xfId="0" applyFont="1" applyBorder="1" applyAlignment="1">
      <alignment vertical="center"/>
    </xf>
    <xf numFmtId="0" fontId="36" fillId="0" borderId="25" xfId="0" applyFont="1" applyBorder="1" applyAlignment="1">
      <alignment vertical="center" wrapText="1"/>
    </xf>
    <xf numFmtId="1" fontId="35" fillId="8" borderId="2" xfId="0" applyNumberFormat="1" applyFont="1" applyFill="1" applyBorder="1" applyAlignment="1">
      <alignment horizontal="center" vertical="center" wrapText="1"/>
    </xf>
    <xf numFmtId="0" fontId="36" fillId="0" borderId="22" xfId="0" applyFont="1" applyBorder="1" applyAlignment="1">
      <alignment vertical="center" wrapText="1"/>
    </xf>
    <xf numFmtId="1" fontId="35" fillId="8" borderId="21" xfId="0" applyNumberFormat="1" applyFont="1" applyFill="1" applyBorder="1" applyAlignment="1">
      <alignment horizontal="center" vertical="center" wrapText="1"/>
    </xf>
    <xf numFmtId="0" fontId="35" fillId="0" borderId="20" xfId="0" quotePrefix="1" applyFont="1" applyBorder="1" applyAlignment="1">
      <alignment horizontal="center" vertical="center" wrapText="1"/>
    </xf>
    <xf numFmtId="0" fontId="37" fillId="0" borderId="17" xfId="0" applyFont="1" applyBorder="1" applyAlignment="1">
      <alignment vertical="center" wrapText="1"/>
    </xf>
    <xf numFmtId="164" fontId="35" fillId="0" borderId="11" xfId="0" applyNumberFormat="1" applyFont="1" applyBorder="1" applyAlignment="1">
      <alignment horizontal="center" vertical="center" wrapText="1"/>
    </xf>
    <xf numFmtId="164" fontId="35" fillId="0" borderId="1" xfId="0" applyNumberFormat="1" applyFont="1" applyBorder="1" applyAlignment="1">
      <alignment horizontal="center" vertical="center" wrapText="1"/>
    </xf>
    <xf numFmtId="164" fontId="35" fillId="0" borderId="18" xfId="0" applyNumberFormat="1" applyFont="1" applyBorder="1" applyAlignment="1">
      <alignment horizontal="center" vertical="center" wrapText="1"/>
    </xf>
    <xf numFmtId="164" fontId="36" fillId="0" borderId="1" xfId="0" applyNumberFormat="1" applyFont="1" applyBorder="1" applyAlignment="1">
      <alignment horizontal="center" vertical="center" wrapText="1"/>
    </xf>
    <xf numFmtId="0" fontId="36" fillId="0" borderId="17" xfId="0" applyFont="1" applyBorder="1" applyAlignment="1">
      <alignment vertical="center" wrapText="1"/>
    </xf>
    <xf numFmtId="0" fontId="37" fillId="0" borderId="12" xfId="0" applyFont="1" applyBorder="1" applyAlignment="1">
      <alignment vertical="center" wrapText="1"/>
    </xf>
    <xf numFmtId="0" fontId="36" fillId="0" borderId="12" xfId="0" applyFont="1" applyBorder="1" applyAlignment="1">
      <alignment vertical="center"/>
    </xf>
    <xf numFmtId="164" fontId="35" fillId="0" borderId="10" xfId="0" applyNumberFormat="1" applyFont="1" applyBorder="1" applyAlignment="1">
      <alignment horizontal="center" vertical="center" wrapText="1"/>
    </xf>
    <xf numFmtId="164" fontId="36" fillId="0" borderId="44" xfId="0" applyNumberFormat="1" applyFont="1" applyBorder="1" applyAlignment="1">
      <alignment horizontal="center" vertical="center" wrapText="1"/>
    </xf>
    <xf numFmtId="0" fontId="36" fillId="4" borderId="61" xfId="0" applyFont="1" applyFill="1" applyBorder="1" applyAlignment="1">
      <alignment horizontal="center" vertical="center"/>
    </xf>
    <xf numFmtId="0" fontId="36" fillId="4" borderId="63" xfId="0" applyFont="1" applyFill="1" applyBorder="1" applyAlignment="1">
      <alignment horizontal="center" vertical="center"/>
    </xf>
    <xf numFmtId="0" fontId="35" fillId="4" borderId="62" xfId="0" applyFont="1" applyFill="1" applyBorder="1" applyAlignment="1">
      <alignment horizontal="center" vertical="center"/>
    </xf>
    <xf numFmtId="0" fontId="35" fillId="4" borderId="68" xfId="0" applyFont="1" applyFill="1" applyBorder="1" applyAlignment="1">
      <alignment horizontal="center" vertical="center"/>
    </xf>
    <xf numFmtId="0" fontId="35" fillId="4" borderId="60" xfId="0" applyFont="1" applyFill="1" applyBorder="1" applyAlignment="1">
      <alignment horizontal="center" vertical="center"/>
    </xf>
    <xf numFmtId="0" fontId="35" fillId="4" borderId="69" xfId="0" applyFont="1" applyFill="1" applyBorder="1" applyAlignment="1">
      <alignment horizontal="center" vertical="center"/>
    </xf>
    <xf numFmtId="0" fontId="35" fillId="4" borderId="66" xfId="0" quotePrefix="1" applyFont="1" applyFill="1" applyBorder="1" applyAlignment="1">
      <alignment horizontal="center" vertical="center"/>
    </xf>
    <xf numFmtId="0" fontId="35" fillId="4" borderId="66" xfId="0" applyFont="1" applyFill="1" applyBorder="1" applyAlignment="1">
      <alignment horizontal="center" vertical="center"/>
    </xf>
    <xf numFmtId="0" fontId="35" fillId="4" borderId="70" xfId="0" applyFont="1" applyFill="1" applyBorder="1" applyAlignment="1">
      <alignment horizontal="center" vertical="center"/>
    </xf>
    <xf numFmtId="0" fontId="35" fillId="4" borderId="0" xfId="0" quotePrefix="1" applyFont="1" applyFill="1" applyAlignment="1">
      <alignment horizontal="center" vertical="center"/>
    </xf>
    <xf numFmtId="0" fontId="35" fillId="4" borderId="71" xfId="0" applyFont="1" applyFill="1" applyBorder="1" applyAlignment="1">
      <alignment horizontal="center" vertical="center"/>
    </xf>
    <xf numFmtId="0" fontId="35" fillId="4" borderId="71" xfId="0" quotePrefix="1" applyFont="1" applyFill="1" applyBorder="1" applyAlignment="1">
      <alignment horizontal="center" vertical="center"/>
    </xf>
    <xf numFmtId="0" fontId="33" fillId="4" borderId="57" xfId="0" applyFont="1" applyFill="1" applyBorder="1" applyAlignment="1">
      <alignment horizontal="center"/>
    </xf>
    <xf numFmtId="0" fontId="33" fillId="4" borderId="77" xfId="0" applyFont="1" applyFill="1" applyBorder="1" applyAlignment="1">
      <alignment horizontal="center"/>
    </xf>
    <xf numFmtId="0" fontId="34" fillId="5" borderId="56" xfId="0" applyFont="1" applyFill="1" applyBorder="1" applyAlignment="1">
      <alignment horizontal="center"/>
    </xf>
    <xf numFmtId="0" fontId="32" fillId="4" borderId="0" xfId="0" applyFont="1" applyFill="1" applyAlignment="1">
      <alignment horizontal="center" vertical="center"/>
    </xf>
    <xf numFmtId="0" fontId="32" fillId="4" borderId="39" xfId="0" applyFont="1" applyFill="1" applyBorder="1" applyAlignment="1">
      <alignment horizontal="center" vertical="center"/>
    </xf>
    <xf numFmtId="0" fontId="36" fillId="0" borderId="47" xfId="0" applyFont="1" applyBorder="1" applyAlignment="1">
      <alignment horizontal="center" vertical="center" wrapText="1"/>
    </xf>
    <xf numFmtId="0" fontId="36" fillId="0" borderId="48" xfId="0" applyFont="1" applyBorder="1" applyAlignment="1">
      <alignment horizontal="center" vertical="center" wrapText="1"/>
    </xf>
    <xf numFmtId="0" fontId="36" fillId="0" borderId="49"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50" xfId="0" applyFont="1" applyBorder="1" applyAlignment="1">
      <alignment horizontal="center" vertical="center" wrapText="1"/>
    </xf>
    <xf numFmtId="0" fontId="36" fillId="0" borderId="15"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34"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27" xfId="0" applyFont="1" applyBorder="1" applyAlignment="1">
      <alignment horizontal="center" vertical="center" wrapText="1"/>
    </xf>
    <xf numFmtId="0" fontId="36" fillId="0" borderId="44" xfId="0" applyFont="1" applyBorder="1" applyAlignment="1">
      <alignment horizontal="center" vertical="center" wrapText="1"/>
    </xf>
    <xf numFmtId="0" fontId="36" fillId="0" borderId="46" xfId="0" applyFont="1" applyBorder="1" applyAlignment="1">
      <alignment horizontal="center" vertical="center" wrapText="1"/>
    </xf>
    <xf numFmtId="0" fontId="36" fillId="0" borderId="36" xfId="0" applyFont="1" applyBorder="1" applyAlignment="1">
      <alignment horizontal="center" vertical="center"/>
    </xf>
    <xf numFmtId="0" fontId="36" fillId="0" borderId="75" xfId="0" applyFont="1" applyBorder="1" applyAlignment="1">
      <alignment horizontal="center" vertical="center"/>
    </xf>
    <xf numFmtId="0" fontId="36" fillId="0" borderId="76" xfId="0" applyFont="1" applyBorder="1" applyAlignment="1">
      <alignment horizontal="center" vertical="center"/>
    </xf>
    <xf numFmtId="0" fontId="35" fillId="4" borderId="72" xfId="0" applyFont="1" applyFill="1" applyBorder="1"/>
    <xf numFmtId="0" fontId="35" fillId="4" borderId="73" xfId="0" applyFont="1" applyFill="1" applyBorder="1"/>
    <xf numFmtId="0" fontId="35" fillId="4" borderId="74" xfId="0" applyFont="1" applyFill="1" applyBorder="1"/>
    <xf numFmtId="0" fontId="40" fillId="4" borderId="67" xfId="0" applyFont="1" applyFill="1" applyBorder="1" applyAlignment="1">
      <alignment horizontal="center" vertical="center" wrapText="1"/>
    </xf>
    <xf numFmtId="0" fontId="40" fillId="4" borderId="59" xfId="0" applyFont="1" applyFill="1" applyBorder="1" applyAlignment="1">
      <alignment horizontal="center" vertical="center" wrapText="1"/>
    </xf>
    <xf numFmtId="0" fontId="36" fillId="4" borderId="65" xfId="0" applyFont="1" applyFill="1" applyBorder="1" applyAlignment="1">
      <alignment horizontal="center" wrapText="1"/>
    </xf>
    <xf numFmtId="0" fontId="35" fillId="4" borderId="60" xfId="0" applyFont="1" applyFill="1" applyBorder="1" applyAlignment="1">
      <alignment horizontal="left"/>
    </xf>
    <xf numFmtId="0" fontId="35" fillId="4" borderId="66" xfId="0" applyFont="1" applyFill="1" applyBorder="1" applyAlignment="1">
      <alignment horizontal="left"/>
    </xf>
    <xf numFmtId="0" fontId="35" fillId="4" borderId="62" xfId="0" applyFont="1" applyFill="1" applyBorder="1" applyAlignment="1">
      <alignment horizontal="left"/>
    </xf>
    <xf numFmtId="0" fontId="36" fillId="4" borderId="61" xfId="0" applyFont="1" applyFill="1" applyBorder="1" applyAlignment="1">
      <alignment horizontal="left" vertical="center"/>
    </xf>
    <xf numFmtId="0" fontId="36" fillId="4" borderId="63" xfId="0" applyFont="1" applyFill="1" applyBorder="1" applyAlignment="1">
      <alignment horizontal="left" vertical="center"/>
    </xf>
    <xf numFmtId="0" fontId="26" fillId="4" borderId="0" xfId="0" applyFont="1" applyFill="1" applyAlignment="1">
      <alignment horizontal="center" vertical="center"/>
    </xf>
  </cellXfs>
  <cellStyles count="1">
    <cellStyle name="Įprastas" xfId="0" builtinId="0"/>
  </cellStyles>
  <dxfs count="4">
    <dxf>
      <font>
        <color rgb="FFFFFFFF"/>
      </font>
      <fill>
        <patternFill>
          <bgColor rgb="FF8FCEA5"/>
        </patternFill>
      </fill>
    </dxf>
    <dxf>
      <font>
        <color rgb="FFFFFFFF"/>
      </font>
      <fill>
        <patternFill>
          <bgColor rgb="FF8FCEA5"/>
        </patternFill>
      </fill>
    </dxf>
    <dxf>
      <font>
        <color rgb="FFFFFFFF"/>
      </font>
      <fill>
        <patternFill>
          <bgColor rgb="FF8FCEA5"/>
        </patternFill>
      </fill>
    </dxf>
    <dxf>
      <font>
        <color rgb="FFFFFFFF"/>
      </font>
      <fill>
        <patternFill>
          <bgColor rgb="FF8FCEA5"/>
        </patternFill>
      </fill>
    </dxf>
  </dxfs>
  <tableStyles count="0" defaultTableStyle="TableStyleMedium2" defaultPivotStyle="PivotStyleLight16"/>
  <colors>
    <mruColors>
      <color rgb="FFC0C0C0"/>
      <color rgb="FFFFFFFF"/>
      <color rgb="FF8FCEA5"/>
      <color rgb="FF44C8F5"/>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NH3 kiekio pokytis</c:v>
          </c:tx>
          <c:spPr>
            <a:solidFill>
              <a:schemeClr val="accent3">
                <a:lumMod val="25000"/>
              </a:schemeClr>
            </a:solidFill>
            <a:ln>
              <a:noFill/>
            </a:ln>
            <a:effectLst/>
          </c:spPr>
          <c:invertIfNegative val="0"/>
          <c:cat>
            <c:strRef>
              <c:f>Skaičiuoklė!$J$5:$P$5</c:f>
              <c:strCache>
                <c:ptCount val="7"/>
                <c:pt idx="0">
                  <c:v>Variantas 1 </c:v>
                </c:pt>
                <c:pt idx="1">
                  <c:v>Variantas 2</c:v>
                </c:pt>
                <c:pt idx="2">
                  <c:v>Variantas 3</c:v>
                </c:pt>
                <c:pt idx="3">
                  <c:v>Variantas 4</c:v>
                </c:pt>
                <c:pt idx="4">
                  <c:v>Variantas 5</c:v>
                </c:pt>
                <c:pt idx="5">
                  <c:v>Variantas 6</c:v>
                </c:pt>
                <c:pt idx="6">
                  <c:v>Suma</c:v>
                </c:pt>
              </c:strCache>
            </c:strRef>
          </c:cat>
          <c:val>
            <c:numRef>
              <c:f>Skaičiuoklė!$J$12:$P$12</c:f>
              <c:numCache>
                <c:formatCode>0.000</c:formatCode>
                <c:ptCount val="7"/>
                <c:pt idx="0">
                  <c:v>3.3783676560000028E-3</c:v>
                </c:pt>
                <c:pt idx="1">
                  <c:v>0</c:v>
                </c:pt>
                <c:pt idx="2">
                  <c:v>0</c:v>
                </c:pt>
                <c:pt idx="3">
                  <c:v>0</c:v>
                </c:pt>
                <c:pt idx="4">
                  <c:v>0</c:v>
                </c:pt>
                <c:pt idx="5">
                  <c:v>0</c:v>
                </c:pt>
                <c:pt idx="6">
                  <c:v>3.3783676560000028E-3</c:v>
                </c:pt>
              </c:numCache>
            </c:numRef>
          </c:val>
          <c:extLst>
            <c:ext xmlns:c16="http://schemas.microsoft.com/office/drawing/2014/chart" uri="{C3380CC4-5D6E-409C-BE32-E72D297353CC}">
              <c16:uniqueId val="{00000000-6D39-460C-A3CF-8002B32E2762}"/>
            </c:ext>
          </c:extLst>
        </c:ser>
        <c:ser>
          <c:idx val="1"/>
          <c:order val="1"/>
          <c:tx>
            <c:v>NMLOJ kiekio pokytis</c:v>
          </c:tx>
          <c:spPr>
            <a:solidFill>
              <a:schemeClr val="tx1">
                <a:lumMod val="75000"/>
              </a:schemeClr>
            </a:solidFill>
            <a:ln>
              <a:noFill/>
            </a:ln>
            <a:effectLst/>
          </c:spPr>
          <c:invertIfNegative val="0"/>
          <c:cat>
            <c:strRef>
              <c:f>Skaičiuoklė!$J$5:$P$5</c:f>
              <c:strCache>
                <c:ptCount val="7"/>
                <c:pt idx="0">
                  <c:v>Variantas 1 </c:v>
                </c:pt>
                <c:pt idx="1">
                  <c:v>Variantas 2</c:v>
                </c:pt>
                <c:pt idx="2">
                  <c:v>Variantas 3</c:v>
                </c:pt>
                <c:pt idx="3">
                  <c:v>Variantas 4</c:v>
                </c:pt>
                <c:pt idx="4">
                  <c:v>Variantas 5</c:v>
                </c:pt>
                <c:pt idx="5">
                  <c:v>Variantas 6</c:v>
                </c:pt>
                <c:pt idx="6">
                  <c:v>Suma</c:v>
                </c:pt>
              </c:strCache>
            </c:strRef>
          </c:cat>
          <c:val>
            <c:numRef>
              <c:f>Skaičiuoklė!$J$13:$P$13</c:f>
              <c:numCache>
                <c:formatCode>0.000</c:formatCode>
                <c:ptCount val="7"/>
                <c:pt idx="0">
                  <c:v>1.1279712671999989E-2</c:v>
                </c:pt>
                <c:pt idx="1">
                  <c:v>0</c:v>
                </c:pt>
                <c:pt idx="2">
                  <c:v>0</c:v>
                </c:pt>
                <c:pt idx="3">
                  <c:v>0</c:v>
                </c:pt>
                <c:pt idx="4">
                  <c:v>0</c:v>
                </c:pt>
                <c:pt idx="5">
                  <c:v>0</c:v>
                </c:pt>
                <c:pt idx="6">
                  <c:v>1.1279712671999989E-2</c:v>
                </c:pt>
              </c:numCache>
            </c:numRef>
          </c:val>
          <c:extLst>
            <c:ext xmlns:c16="http://schemas.microsoft.com/office/drawing/2014/chart" uri="{C3380CC4-5D6E-409C-BE32-E72D297353CC}">
              <c16:uniqueId val="{00000001-6D39-460C-A3CF-8002B32E2762}"/>
            </c:ext>
          </c:extLst>
        </c:ser>
        <c:ser>
          <c:idx val="2"/>
          <c:order val="2"/>
          <c:tx>
            <c:v>NOx kiekio pokytis</c:v>
          </c:tx>
          <c:spPr>
            <a:solidFill>
              <a:schemeClr val="accent5">
                <a:lumMod val="75000"/>
              </a:schemeClr>
            </a:solidFill>
            <a:ln>
              <a:noFill/>
            </a:ln>
            <a:effectLst/>
          </c:spPr>
          <c:invertIfNegative val="0"/>
          <c:cat>
            <c:strRef>
              <c:f>Skaičiuoklė!$J$5:$P$5</c:f>
              <c:strCache>
                <c:ptCount val="7"/>
                <c:pt idx="0">
                  <c:v>Variantas 1 </c:v>
                </c:pt>
                <c:pt idx="1">
                  <c:v>Variantas 2</c:v>
                </c:pt>
                <c:pt idx="2">
                  <c:v>Variantas 3</c:v>
                </c:pt>
                <c:pt idx="3">
                  <c:v>Variantas 4</c:v>
                </c:pt>
                <c:pt idx="4">
                  <c:v>Variantas 5</c:v>
                </c:pt>
                <c:pt idx="5">
                  <c:v>Variantas 6</c:v>
                </c:pt>
                <c:pt idx="6">
                  <c:v>Suma</c:v>
                </c:pt>
              </c:strCache>
            </c:strRef>
          </c:cat>
          <c:val>
            <c:numRef>
              <c:f>Skaičiuoklė!$J$14:$P$14</c:f>
              <c:numCache>
                <c:formatCode>0.000</c:formatCode>
                <c:ptCount val="7"/>
                <c:pt idx="0">
                  <c:v>1.1909869559999942E-2</c:v>
                </c:pt>
                <c:pt idx="1">
                  <c:v>0</c:v>
                </c:pt>
                <c:pt idx="2">
                  <c:v>0</c:v>
                </c:pt>
                <c:pt idx="3">
                  <c:v>0</c:v>
                </c:pt>
                <c:pt idx="4">
                  <c:v>0</c:v>
                </c:pt>
                <c:pt idx="5">
                  <c:v>0</c:v>
                </c:pt>
                <c:pt idx="6">
                  <c:v>1.1909869559999942E-2</c:v>
                </c:pt>
              </c:numCache>
            </c:numRef>
          </c:val>
          <c:extLst>
            <c:ext xmlns:c16="http://schemas.microsoft.com/office/drawing/2014/chart" uri="{C3380CC4-5D6E-409C-BE32-E72D297353CC}">
              <c16:uniqueId val="{00000002-6D39-460C-A3CF-8002B32E2762}"/>
            </c:ext>
          </c:extLst>
        </c:ser>
        <c:ser>
          <c:idx val="3"/>
          <c:order val="3"/>
          <c:tx>
            <c:v>KD 2,5 kiekio pokytis</c:v>
          </c:tx>
          <c:spPr>
            <a:solidFill>
              <a:schemeClr val="accent4">
                <a:lumMod val="60000"/>
                <a:lumOff val="40000"/>
              </a:schemeClr>
            </a:solidFill>
            <a:ln>
              <a:noFill/>
            </a:ln>
            <a:effectLst/>
          </c:spPr>
          <c:invertIfNegative val="0"/>
          <c:cat>
            <c:strRef>
              <c:f>Skaičiuoklė!$J$5:$P$5</c:f>
              <c:strCache>
                <c:ptCount val="7"/>
                <c:pt idx="0">
                  <c:v>Variantas 1 </c:v>
                </c:pt>
                <c:pt idx="1">
                  <c:v>Variantas 2</c:v>
                </c:pt>
                <c:pt idx="2">
                  <c:v>Variantas 3</c:v>
                </c:pt>
                <c:pt idx="3">
                  <c:v>Variantas 4</c:v>
                </c:pt>
                <c:pt idx="4">
                  <c:v>Variantas 5</c:v>
                </c:pt>
                <c:pt idx="5">
                  <c:v>Variantas 6</c:v>
                </c:pt>
                <c:pt idx="6">
                  <c:v>Suma</c:v>
                </c:pt>
              </c:strCache>
            </c:strRef>
          </c:cat>
          <c:val>
            <c:numRef>
              <c:f>Skaičiuoklė!$J$15:$P$15</c:f>
              <c:numCache>
                <c:formatCode>0.000</c:formatCode>
                <c:ptCount val="7"/>
                <c:pt idx="0">
                  <c:v>1.4725972800000103E-4</c:v>
                </c:pt>
                <c:pt idx="1">
                  <c:v>0</c:v>
                </c:pt>
                <c:pt idx="2">
                  <c:v>0</c:v>
                </c:pt>
                <c:pt idx="3">
                  <c:v>0</c:v>
                </c:pt>
                <c:pt idx="4">
                  <c:v>0</c:v>
                </c:pt>
                <c:pt idx="5">
                  <c:v>0</c:v>
                </c:pt>
                <c:pt idx="6">
                  <c:v>1.4725972800000103E-4</c:v>
                </c:pt>
              </c:numCache>
            </c:numRef>
          </c:val>
          <c:extLst>
            <c:ext xmlns:c16="http://schemas.microsoft.com/office/drawing/2014/chart" uri="{C3380CC4-5D6E-409C-BE32-E72D297353CC}">
              <c16:uniqueId val="{00000003-6D39-460C-A3CF-8002B32E2762}"/>
            </c:ext>
          </c:extLst>
        </c:ser>
        <c:dLbls>
          <c:showLegendKey val="0"/>
          <c:showVal val="0"/>
          <c:showCatName val="0"/>
          <c:showSerName val="0"/>
          <c:showPercent val="0"/>
          <c:showBubbleSize val="0"/>
        </c:dLbls>
        <c:gapWidth val="219"/>
        <c:overlap val="-27"/>
        <c:axId val="1157764464"/>
        <c:axId val="1494010800"/>
      </c:barChart>
      <c:catAx>
        <c:axId val="11577644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accent3">
                    <a:lumMod val="25000"/>
                  </a:schemeClr>
                </a:solidFill>
                <a:latin typeface="+mn-lt"/>
                <a:ea typeface="+mn-ea"/>
                <a:cs typeface="+mn-cs"/>
              </a:defRPr>
            </a:pPr>
            <a:endParaRPr lang="lt-LT"/>
          </a:p>
        </c:txPr>
        <c:crossAx val="1494010800"/>
        <c:crosses val="autoZero"/>
        <c:auto val="1"/>
        <c:lblAlgn val="ctr"/>
        <c:lblOffset val="100"/>
        <c:noMultiLvlLbl val="0"/>
      </c:catAx>
      <c:valAx>
        <c:axId val="1494010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accent3">
                        <a:lumMod val="25000"/>
                      </a:schemeClr>
                    </a:solidFill>
                    <a:latin typeface="+mn-lt"/>
                    <a:ea typeface="+mn-ea"/>
                    <a:cs typeface="+mn-cs"/>
                  </a:defRPr>
                </a:pPr>
                <a:r>
                  <a:rPr lang="lt-LT">
                    <a:solidFill>
                      <a:schemeClr val="accent3">
                        <a:lumMod val="25000"/>
                      </a:schemeClr>
                    </a:solidFill>
                  </a:rPr>
                  <a:t>Oro taršalo kiekio</a:t>
                </a:r>
                <a:r>
                  <a:rPr lang="lt-LT" baseline="0">
                    <a:solidFill>
                      <a:schemeClr val="accent3">
                        <a:lumMod val="25000"/>
                      </a:schemeClr>
                    </a:solidFill>
                  </a:rPr>
                  <a:t> pokytis, kt</a:t>
                </a:r>
                <a:endParaRPr lang="lt-LT">
                  <a:solidFill>
                    <a:schemeClr val="accent3">
                      <a:lumMod val="25000"/>
                    </a:schemeClr>
                  </a:solidFill>
                </a:endParaRPr>
              </a:p>
            </c:rich>
          </c:tx>
          <c:layout>
            <c:manualLayout>
              <c:xMode val="edge"/>
              <c:yMode val="edge"/>
              <c:x val="1.946761652868528E-2"/>
              <c:y val="0.1593641251286010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accent3">
                      <a:lumMod val="25000"/>
                    </a:schemeClr>
                  </a:solidFill>
                  <a:latin typeface="+mn-lt"/>
                  <a:ea typeface="+mn-ea"/>
                  <a:cs typeface="+mn-cs"/>
                </a:defRPr>
              </a:pPr>
              <a:endParaRPr lang="lt-LT"/>
            </a:p>
          </c:txPr>
        </c:title>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3">
                    <a:lumMod val="25000"/>
                  </a:schemeClr>
                </a:solidFill>
                <a:latin typeface="+mn-lt"/>
                <a:ea typeface="+mn-ea"/>
                <a:cs typeface="+mn-cs"/>
              </a:defRPr>
            </a:pPr>
            <a:endParaRPr lang="lt-LT"/>
          </a:p>
        </c:txPr>
        <c:crossAx val="1157764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accent3">
                  <a:lumMod val="25000"/>
                </a:schemeClr>
              </a:solidFill>
              <a:latin typeface="+mn-lt"/>
              <a:ea typeface="+mn-ea"/>
              <a:cs typeface="+mn-cs"/>
            </a:defRPr>
          </a:pPr>
          <a:endParaRPr lang="lt-LT"/>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solidFill>
            <a:schemeClr val="bg2">
              <a:lumMod val="50000"/>
            </a:schemeClr>
          </a:solidFill>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9.png"/><Relationship Id="rId3" Type="http://schemas.openxmlformats.org/officeDocument/2006/relationships/image" Target="../media/image3.png"/><Relationship Id="rId7" Type="http://schemas.openxmlformats.org/officeDocument/2006/relationships/image" Target="../media/image6.png"/><Relationship Id="rId12" Type="http://schemas.openxmlformats.org/officeDocument/2006/relationships/hyperlink" Target="#Skai&#269;iuokl&#279;!A1"/><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5.png"/><Relationship Id="rId11" Type="http://schemas.microsoft.com/office/2007/relationships/hdphoto" Target="../media/hdphoto1.wdp"/><Relationship Id="rId5" Type="http://schemas.openxmlformats.org/officeDocument/2006/relationships/hyperlink" Target="https://aaa.lrv.lt/lt/veiklos-sritys/teisekuros-poveikio-vertinimas/" TargetMode="External"/><Relationship Id="rId15" Type="http://schemas.openxmlformats.org/officeDocument/2006/relationships/image" Target="../media/image10.png"/><Relationship Id="rId10" Type="http://schemas.openxmlformats.org/officeDocument/2006/relationships/image" Target="../media/image8.png"/><Relationship Id="rId4" Type="http://schemas.openxmlformats.org/officeDocument/2006/relationships/image" Target="../media/image4.svg"/><Relationship Id="rId9" Type="http://schemas.openxmlformats.org/officeDocument/2006/relationships/hyperlink" Target="#'Naudojimosi instrukcija'!A1"/><Relationship Id="rId14" Type="http://schemas.openxmlformats.org/officeDocument/2006/relationships/hyperlink" Target="#Atnaujinimas!A1"/></Relationships>
</file>

<file path=xl/drawings/_rels/drawing2.xml.rels><?xml version="1.0" encoding="UTF-8" standalone="yes"?>
<Relationships xmlns="http://schemas.openxmlformats.org/package/2006/relationships"><Relationship Id="rId8" Type="http://schemas.openxmlformats.org/officeDocument/2006/relationships/hyperlink" Target="#Prad&#382;ia!A1"/><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6.png"/><Relationship Id="rId12" Type="http://schemas.openxmlformats.org/officeDocument/2006/relationships/hyperlink" Target="#Skai&#269;iuokl&#279;!A1"/><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5.png"/><Relationship Id="rId11" Type="http://schemas.microsoft.com/office/2007/relationships/hdphoto" Target="../media/hdphoto2.wdp"/><Relationship Id="rId5" Type="http://schemas.openxmlformats.org/officeDocument/2006/relationships/hyperlink" Target="https://aaa.lrv.lt/lt/veiklos-sritys/teisekuros-poveikio-vertinimas/" TargetMode="External"/><Relationship Id="rId15" Type="http://schemas.openxmlformats.org/officeDocument/2006/relationships/image" Target="../media/image14.png"/><Relationship Id="rId10" Type="http://schemas.openxmlformats.org/officeDocument/2006/relationships/image" Target="../media/image12.png"/><Relationship Id="rId4" Type="http://schemas.openxmlformats.org/officeDocument/2006/relationships/image" Target="../media/image4.svg"/><Relationship Id="rId9" Type="http://schemas.openxmlformats.org/officeDocument/2006/relationships/image" Target="../media/image11.png"/><Relationship Id="rId14" Type="http://schemas.openxmlformats.org/officeDocument/2006/relationships/hyperlink" Target="#Atnaujinimas!A1"/></Relationships>
</file>

<file path=xl/drawings/_rels/drawing3.xml.rels><?xml version="1.0" encoding="UTF-8" standalone="yes"?>
<Relationships xmlns="http://schemas.openxmlformats.org/package/2006/relationships"><Relationship Id="rId8" Type="http://schemas.openxmlformats.org/officeDocument/2006/relationships/image" Target="../media/image5.png"/><Relationship Id="rId13" Type="http://schemas.microsoft.com/office/2007/relationships/hdphoto" Target="../media/hdphoto1.wdp"/><Relationship Id="rId18" Type="http://schemas.openxmlformats.org/officeDocument/2006/relationships/image" Target="../media/image6.png"/><Relationship Id="rId3" Type="http://schemas.openxmlformats.org/officeDocument/2006/relationships/image" Target="../media/image4.svg"/><Relationship Id="rId7" Type="http://schemas.openxmlformats.org/officeDocument/2006/relationships/hyperlink" Target="https://aaa.lrv.lt/lt/veiklos-sritys/teisekuros-poveikio-vertinimas/" TargetMode="External"/><Relationship Id="rId12" Type="http://schemas.openxmlformats.org/officeDocument/2006/relationships/image" Target="../media/image8.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hyperlink" Target="#Atnaujinimas!A1"/><Relationship Id="rId1" Type="http://schemas.openxmlformats.org/officeDocument/2006/relationships/image" Target="../media/image15.png"/><Relationship Id="rId6" Type="http://schemas.openxmlformats.org/officeDocument/2006/relationships/chart" Target="../charts/chart1.xml"/><Relationship Id="rId11" Type="http://schemas.openxmlformats.org/officeDocument/2006/relationships/hyperlink" Target="#'Naudojimosi instrukcija'!A1"/><Relationship Id="rId5" Type="http://schemas.openxmlformats.org/officeDocument/2006/relationships/image" Target="../media/image2.svg"/><Relationship Id="rId15" Type="http://schemas.microsoft.com/office/2007/relationships/hdphoto" Target="../media/hdphoto3.wdp"/><Relationship Id="rId10" Type="http://schemas.openxmlformats.org/officeDocument/2006/relationships/image" Target="../media/image16.png"/><Relationship Id="rId4" Type="http://schemas.openxmlformats.org/officeDocument/2006/relationships/image" Target="../media/image1.png"/><Relationship Id="rId9" Type="http://schemas.openxmlformats.org/officeDocument/2006/relationships/hyperlink" Target="#Prad&#382;ia!A1"/><Relationship Id="rId14" Type="http://schemas.openxmlformats.org/officeDocument/2006/relationships/image" Target="../media/image17.png"/></Relationships>
</file>

<file path=xl/drawings/_rels/drawing4.xml.rels><?xml version="1.0" encoding="UTF-8" standalone="yes"?>
<Relationships xmlns="http://schemas.openxmlformats.org/package/2006/relationships"><Relationship Id="rId8" Type="http://schemas.openxmlformats.org/officeDocument/2006/relationships/image" Target="../media/image16.png"/><Relationship Id="rId13" Type="http://schemas.openxmlformats.org/officeDocument/2006/relationships/image" Target="../media/image20.png"/><Relationship Id="rId3" Type="http://schemas.openxmlformats.org/officeDocument/2006/relationships/image" Target="../media/image3.png"/><Relationship Id="rId7" Type="http://schemas.openxmlformats.org/officeDocument/2006/relationships/hyperlink" Target="#Prad&#382;ia!A1"/><Relationship Id="rId12" Type="http://schemas.openxmlformats.org/officeDocument/2006/relationships/image" Target="../media/image9.png"/><Relationship Id="rId2" Type="http://schemas.openxmlformats.org/officeDocument/2006/relationships/image" Target="../media/image6.png"/><Relationship Id="rId16" Type="http://schemas.openxmlformats.org/officeDocument/2006/relationships/image" Target="../media/image2.svg"/><Relationship Id="rId1" Type="http://schemas.openxmlformats.org/officeDocument/2006/relationships/image" Target="../media/image15.png"/><Relationship Id="rId6" Type="http://schemas.openxmlformats.org/officeDocument/2006/relationships/image" Target="../media/image5.png"/><Relationship Id="rId11" Type="http://schemas.openxmlformats.org/officeDocument/2006/relationships/hyperlink" Target="#Skai&#269;iuokl&#279;!A1"/><Relationship Id="rId5" Type="http://schemas.openxmlformats.org/officeDocument/2006/relationships/hyperlink" Target="https://aaa.lrv.lt/lt/veiklos-sritys/teisekuros-poveikio-vertinimas/" TargetMode="External"/><Relationship Id="rId15" Type="http://schemas.openxmlformats.org/officeDocument/2006/relationships/image" Target="../media/image1.png"/><Relationship Id="rId10" Type="http://schemas.openxmlformats.org/officeDocument/2006/relationships/image" Target="../media/image19.png"/><Relationship Id="rId4" Type="http://schemas.openxmlformats.org/officeDocument/2006/relationships/image" Target="../media/image4.svg"/><Relationship Id="rId9" Type="http://schemas.openxmlformats.org/officeDocument/2006/relationships/hyperlink" Target="#'Naudojimosi instrukcija'!A1"/><Relationship Id="rId14" Type="http://schemas.microsoft.com/office/2007/relationships/hdphoto" Target="../media/hdphoto4.wdp"/></Relationships>
</file>

<file path=xl/drawings/_rels/drawing5.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4.png"/><Relationship Id="rId18" Type="http://schemas.openxmlformats.org/officeDocument/2006/relationships/hyperlink" Target="#Atnaujinimas!A1"/><Relationship Id="rId3" Type="http://schemas.openxmlformats.org/officeDocument/2006/relationships/hyperlink" Target="#'Naudojimosi instrukcija'!A1"/><Relationship Id="rId21" Type="http://schemas.openxmlformats.org/officeDocument/2006/relationships/image" Target="../media/image20.png"/><Relationship Id="rId7" Type="http://schemas.openxmlformats.org/officeDocument/2006/relationships/image" Target="../media/image9.png"/><Relationship Id="rId12" Type="http://schemas.openxmlformats.org/officeDocument/2006/relationships/image" Target="../media/image13.png"/><Relationship Id="rId17" Type="http://schemas.microsoft.com/office/2007/relationships/hdphoto" Target="../media/hdphoto3.wdp"/><Relationship Id="rId2" Type="http://schemas.openxmlformats.org/officeDocument/2006/relationships/image" Target="../media/image7.png"/><Relationship Id="rId16" Type="http://schemas.openxmlformats.org/officeDocument/2006/relationships/image" Target="../media/image17.png"/><Relationship Id="rId20" Type="http://schemas.openxmlformats.org/officeDocument/2006/relationships/image" Target="../media/image19.png"/><Relationship Id="rId1" Type="http://schemas.openxmlformats.org/officeDocument/2006/relationships/image" Target="../media/image6.png"/><Relationship Id="rId6" Type="http://schemas.openxmlformats.org/officeDocument/2006/relationships/hyperlink" Target="#Skai&#269;iuokl&#279;!A1"/><Relationship Id="rId11" Type="http://schemas.microsoft.com/office/2007/relationships/hdphoto" Target="../media/hdphoto2.wdp"/><Relationship Id="rId5" Type="http://schemas.microsoft.com/office/2007/relationships/hdphoto" Target="../media/hdphoto1.wdp"/><Relationship Id="rId15" Type="http://schemas.openxmlformats.org/officeDocument/2006/relationships/image" Target="../media/image16.png"/><Relationship Id="rId10" Type="http://schemas.openxmlformats.org/officeDocument/2006/relationships/image" Target="../media/image12.png"/><Relationship Id="rId19" Type="http://schemas.openxmlformats.org/officeDocument/2006/relationships/image" Target="../media/image18.png"/><Relationship Id="rId4" Type="http://schemas.openxmlformats.org/officeDocument/2006/relationships/image" Target="../media/image8.png"/><Relationship Id="rId9" Type="http://schemas.openxmlformats.org/officeDocument/2006/relationships/image" Target="../media/image11.png"/><Relationship Id="rId14" Type="http://schemas.openxmlformats.org/officeDocument/2006/relationships/hyperlink" Target="#Prad&#382;ia!A1"/><Relationship Id="rId22" Type="http://schemas.microsoft.com/office/2007/relationships/hdphoto" Target="../media/hdphoto4.wdp"/></Relationships>
</file>

<file path=xl/drawings/drawing1.xml><?xml version="1.0" encoding="utf-8"?>
<xdr:wsDr xmlns:xdr="http://schemas.openxmlformats.org/drawingml/2006/spreadsheetDrawing" xmlns:a="http://schemas.openxmlformats.org/drawingml/2006/main">
  <xdr:twoCellAnchor>
    <xdr:from>
      <xdr:col>17</xdr:col>
      <xdr:colOff>1607</xdr:colOff>
      <xdr:row>8</xdr:row>
      <xdr:rowOff>92362</xdr:rowOff>
    </xdr:from>
    <xdr:to>
      <xdr:col>30</xdr:col>
      <xdr:colOff>1608</xdr:colOff>
      <xdr:row>53</xdr:row>
      <xdr:rowOff>27214</xdr:rowOff>
    </xdr:to>
    <xdr:sp macro="" textlink="">
      <xdr:nvSpPr>
        <xdr:cNvPr id="47" name="Stačiakampis 22">
          <a:extLst>
            <a:ext uri="{FF2B5EF4-FFF2-40B4-BE49-F238E27FC236}">
              <a16:creationId xmlns:a16="http://schemas.microsoft.com/office/drawing/2014/main" id="{54002190-FA7E-4D0D-8235-05AEC178A672}"/>
            </a:ext>
            <a:ext uri="{147F2762-F138-4A5C-976F-8EAC2B608ADB}">
              <a16:predDERef xmlns:a16="http://schemas.microsoft.com/office/drawing/2014/main" pred="{609DEACF-2BD9-8CCA-C121-81373325173F}"/>
            </a:ext>
          </a:extLst>
        </xdr:cNvPr>
        <xdr:cNvSpPr/>
      </xdr:nvSpPr>
      <xdr:spPr>
        <a:xfrm>
          <a:off x="10832893" y="1670791"/>
          <a:ext cx="7960179" cy="8901959"/>
        </a:xfrm>
        <a:prstGeom prst="rect">
          <a:avLst/>
        </a:prstGeom>
        <a:solidFill>
          <a:srgbClr val="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0</xdr:col>
      <xdr:colOff>141942</xdr:colOff>
      <xdr:row>5</xdr:row>
      <xdr:rowOff>7470</xdr:rowOff>
    </xdr:from>
    <xdr:to>
      <xdr:col>2</xdr:col>
      <xdr:colOff>201707</xdr:colOff>
      <xdr:row>6</xdr:row>
      <xdr:rowOff>44824</xdr:rowOff>
    </xdr:to>
    <xdr:sp macro="" textlink="">
      <xdr:nvSpPr>
        <xdr:cNvPr id="57" name="TextBox 2">
          <a:extLst>
            <a:ext uri="{FF2B5EF4-FFF2-40B4-BE49-F238E27FC236}">
              <a16:creationId xmlns:a16="http://schemas.microsoft.com/office/drawing/2014/main" id="{F7D8CBB6-5115-4476-B6AD-ED5F10BD4452}"/>
            </a:ext>
          </a:extLst>
        </xdr:cNvPr>
        <xdr:cNvSpPr txBox="1"/>
      </xdr:nvSpPr>
      <xdr:spPr>
        <a:xfrm>
          <a:off x="141942" y="1007595"/>
          <a:ext cx="1278965" cy="227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p>
      </xdr:txBody>
    </xdr:sp>
    <xdr:clientData/>
  </xdr:twoCellAnchor>
  <xdr:twoCellAnchor>
    <xdr:from>
      <xdr:col>4</xdr:col>
      <xdr:colOff>161635</xdr:colOff>
      <xdr:row>2</xdr:row>
      <xdr:rowOff>70759</xdr:rowOff>
    </xdr:from>
    <xdr:to>
      <xdr:col>18</xdr:col>
      <xdr:colOff>486557</xdr:colOff>
      <xdr:row>5</xdr:row>
      <xdr:rowOff>46182</xdr:rowOff>
    </xdr:to>
    <xdr:sp macro="" textlink="">
      <xdr:nvSpPr>
        <xdr:cNvPr id="55" name="TextBox 3">
          <a:extLst>
            <a:ext uri="{FF2B5EF4-FFF2-40B4-BE49-F238E27FC236}">
              <a16:creationId xmlns:a16="http://schemas.microsoft.com/office/drawing/2014/main" id="{F4B667B6-5B93-4716-8B17-8DCABF329DD0}"/>
            </a:ext>
            <a:ext uri="{147F2762-F138-4A5C-976F-8EAC2B608ADB}">
              <a16:predDERef xmlns:a16="http://schemas.microsoft.com/office/drawing/2014/main" pred="{8F25ABEF-DBB9-A147-2351-0D3B1C825F90}"/>
            </a:ext>
          </a:extLst>
        </xdr:cNvPr>
        <xdr:cNvSpPr txBox="1"/>
      </xdr:nvSpPr>
      <xdr:spPr>
        <a:xfrm>
          <a:off x="2747817" y="463304"/>
          <a:ext cx="9746013" cy="598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lt-LT" sz="1600" b="1">
              <a:solidFill>
                <a:schemeClr val="accent3">
                  <a:lumMod val="25000"/>
                </a:schemeClr>
              </a:solidFill>
              <a:effectLst/>
              <a:latin typeface="+mn-lt"/>
              <a:ea typeface="+mn-ea"/>
              <a:cs typeface="+mn-cs"/>
            </a:rPr>
            <a:t>KELIŲ</a:t>
          </a:r>
          <a:r>
            <a:rPr lang="lt-LT" sz="1600" b="1" baseline="0">
              <a:solidFill>
                <a:schemeClr val="accent3">
                  <a:lumMod val="25000"/>
                </a:schemeClr>
              </a:solidFill>
              <a:effectLst/>
              <a:latin typeface="+mn-lt"/>
              <a:ea typeface="+mn-ea"/>
              <a:cs typeface="+mn-cs"/>
            </a:rPr>
            <a:t> </a:t>
          </a:r>
          <a:r>
            <a:rPr lang="lt-LT" sz="1600" b="1">
              <a:solidFill>
                <a:schemeClr val="accent3">
                  <a:lumMod val="25000"/>
                </a:schemeClr>
              </a:solidFill>
              <a:effectLst/>
              <a:latin typeface="+mn-lt"/>
              <a:ea typeface="+mn-ea"/>
              <a:cs typeface="+mn-cs"/>
            </a:rPr>
            <a:t>TRANSPORTO PRIEMONIŲ SKAIČIAUS REGULIAVIMO POVEIKIO VERTINIMO SKAIČIUOKLĖ:</a:t>
          </a:r>
        </a:p>
        <a:p>
          <a:pPr marL="0" marR="0" lvl="0" indent="0" defTabSz="914400" eaLnBrk="1" fontAlgn="auto" latinLnBrk="0" hangingPunct="1">
            <a:lnSpc>
              <a:spcPct val="100000"/>
            </a:lnSpc>
            <a:spcBef>
              <a:spcPts val="0"/>
            </a:spcBef>
            <a:spcAft>
              <a:spcPts val="0"/>
            </a:spcAft>
            <a:buClrTx/>
            <a:buSzTx/>
            <a:buFontTx/>
            <a:buNone/>
            <a:tabLst/>
            <a:defRPr/>
          </a:pPr>
          <a:r>
            <a:rPr lang="lt-LT" sz="1600" b="0">
              <a:solidFill>
                <a:schemeClr val="accent3">
                  <a:lumMod val="25000"/>
                </a:schemeClr>
              </a:solidFill>
              <a:effectLst/>
              <a:latin typeface="+mn-lt"/>
              <a:ea typeface="+mn-ea"/>
              <a:cs typeface="+mn-cs"/>
            </a:rPr>
            <a:t>KOMPLEKSINIS SKAIČIAVIMO ĮRANKIS</a:t>
          </a:r>
        </a:p>
        <a:p>
          <a:endParaRPr lang="lt-LT" sz="1400">
            <a:solidFill>
              <a:schemeClr val="accent3">
                <a:lumMod val="25000"/>
              </a:schemeClr>
            </a:solidFill>
            <a:effectLst/>
            <a:latin typeface="+mn-lt"/>
            <a:ea typeface="+mn-ea"/>
            <a:cs typeface="+mn-cs"/>
          </a:endParaRPr>
        </a:p>
        <a:p>
          <a:r>
            <a:rPr lang="lt-LT" sz="1100">
              <a:solidFill>
                <a:schemeClr val="dk1"/>
              </a:solidFill>
              <a:effectLst/>
              <a:latin typeface="+mn-lt"/>
              <a:ea typeface="+mn-ea"/>
              <a:cs typeface="+mn-cs"/>
            </a:rPr>
            <a:t> </a:t>
          </a:r>
        </a:p>
        <a:p>
          <a:endParaRPr lang="lt-LT" sz="1100" b="1">
            <a:solidFill>
              <a:schemeClr val="dk1"/>
            </a:solidFill>
            <a:effectLst/>
            <a:latin typeface="+mn-lt"/>
            <a:ea typeface="+mn-ea"/>
            <a:cs typeface="+mn-cs"/>
          </a:endParaRPr>
        </a:p>
        <a:p>
          <a:r>
            <a:rPr lang="lt-LT" sz="1400">
              <a:solidFill>
                <a:schemeClr val="accent3">
                  <a:lumMod val="25000"/>
                </a:schemeClr>
              </a:solidFill>
              <a:effectLst/>
              <a:latin typeface="+mn-lt"/>
              <a:ea typeface="+mn-ea"/>
              <a:cs typeface="+mn-cs"/>
            </a:rPr>
            <a:t> </a:t>
          </a:r>
        </a:p>
        <a:p>
          <a:endParaRPr lang="lt-LT" sz="1400" b="0" i="0">
            <a:ln>
              <a:noFill/>
            </a:ln>
            <a:solidFill>
              <a:schemeClr val="accent3">
                <a:lumMod val="25000"/>
              </a:schemeClr>
            </a:solidFill>
            <a:effectLst/>
          </a:endParaRPr>
        </a:p>
      </xdr:txBody>
    </xdr:sp>
    <xdr:clientData/>
  </xdr:twoCellAnchor>
  <xdr:twoCellAnchor>
    <xdr:from>
      <xdr:col>4</xdr:col>
      <xdr:colOff>172479</xdr:colOff>
      <xdr:row>8</xdr:row>
      <xdr:rowOff>110919</xdr:rowOff>
    </xdr:from>
    <xdr:to>
      <xdr:col>16</xdr:col>
      <xdr:colOff>243692</xdr:colOff>
      <xdr:row>20</xdr:row>
      <xdr:rowOff>200397</xdr:rowOff>
    </xdr:to>
    <xdr:sp macro="" textlink="">
      <xdr:nvSpPr>
        <xdr:cNvPr id="52" name="TextBox 8">
          <a:extLst>
            <a:ext uri="{FF2B5EF4-FFF2-40B4-BE49-F238E27FC236}">
              <a16:creationId xmlns:a16="http://schemas.microsoft.com/office/drawing/2014/main" id="{6A41927E-E417-4C44-97B3-6362EA22159B}"/>
            </a:ext>
          </a:extLst>
        </xdr:cNvPr>
        <xdr:cNvSpPr txBox="1"/>
      </xdr:nvSpPr>
      <xdr:spPr>
        <a:xfrm>
          <a:off x="2758661" y="1681101"/>
          <a:ext cx="8199213" cy="2456296"/>
        </a:xfrm>
        <a:prstGeom prst="rect">
          <a:avLst/>
        </a:prstGeom>
        <a:solidFill>
          <a:schemeClr val="accent3"/>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800"/>
            </a:spcAft>
            <a:buClrTx/>
            <a:buSzTx/>
            <a:buFontTx/>
            <a:buNone/>
            <a:tabLst/>
            <a:defRPr/>
          </a:pPr>
          <a:r>
            <a:rPr kumimoji="0" lang="lt-LT" sz="1600" b="1" i="0" u="none" strike="noStrike" kern="0" cap="none" spc="0" normalizeH="0" baseline="0" noProof="0">
              <a:ln>
                <a:noFill/>
              </a:ln>
              <a:solidFill>
                <a:srgbClr val="F4FAF6">
                  <a:lumMod val="25000"/>
                </a:srgbClr>
              </a:solidFill>
              <a:effectLst/>
              <a:uLnTx/>
              <a:uFillTx/>
              <a:latin typeface="+mn-lt"/>
              <a:ea typeface="+mn-ea"/>
              <a:cs typeface="+mn-cs"/>
            </a:rPr>
            <a:t>ĮVADAS </a:t>
          </a:r>
          <a:endParaRPr lang="lt-LT" sz="1100" b="1" baseline="0">
            <a:solidFill>
              <a:srgbClr val="80808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lt-LT" sz="1100" baseline="0">
            <a:solidFill>
              <a:srgbClr val="808080"/>
            </a:solidFill>
            <a:effectLst/>
            <a:latin typeface="+mn-lt"/>
            <a:ea typeface="+mn-ea"/>
            <a:cs typeface="+mn-cs"/>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Skaičiuoklė - tai inovatyvus Microsoft Excel pagrindu sukurtas įrankis</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padedantis nustatyti teisėkūros iniciatyvų poveikį aplinkos oro teršalų kiekio pokyčiams.</a:t>
          </a:r>
          <a:endParaRPr kumimoji="0" lang="lt-LT" sz="1100" b="0" i="0" u="none" strike="noStrike" kern="0" cap="none" spc="0" normalizeH="0" baseline="0" noProof="0">
            <a:ln>
              <a:noFill/>
            </a:ln>
            <a:solidFill>
              <a:srgbClr val="808080"/>
            </a:solidFill>
            <a:effectLst/>
            <a:uLnTx/>
            <a:uFillTx/>
            <a:latin typeface="+mn-lt"/>
            <a:ea typeface="+mn-ea"/>
            <a:cs typeface="+mn-cs"/>
          </a:endParaRPr>
        </a:p>
        <a:p>
          <a:pPr marL="0" indent="0">
            <a:buFontTx/>
            <a:buNone/>
          </a:pPr>
          <a:endParaRPr lang="lt-LT" sz="1100">
            <a:solidFill>
              <a:srgbClr val="808080"/>
            </a:solidFill>
            <a:effectLst/>
            <a:latin typeface="+mn-lt"/>
            <a:ea typeface="+mn-ea"/>
            <a:cs typeface="+mn-cs"/>
          </a:endParaRPr>
        </a:p>
        <a:p>
          <a:endParaRPr lang="lt-LT" sz="1100">
            <a:solidFill>
              <a:srgbClr val="808080"/>
            </a:solidFill>
          </a:endParaRPr>
        </a:p>
      </xdr:txBody>
    </xdr:sp>
    <xdr:clientData/>
  </xdr:twoCellAnchor>
  <xdr:twoCellAnchor>
    <xdr:from>
      <xdr:col>17</xdr:col>
      <xdr:colOff>81476</xdr:colOff>
      <xdr:row>11</xdr:row>
      <xdr:rowOff>46179</xdr:rowOff>
    </xdr:from>
    <xdr:to>
      <xdr:col>30</xdr:col>
      <xdr:colOff>1607</xdr:colOff>
      <xdr:row>53</xdr:row>
      <xdr:rowOff>40821</xdr:rowOff>
    </xdr:to>
    <xdr:sp macro="" textlink="">
      <xdr:nvSpPr>
        <xdr:cNvPr id="66" name="TextBox 25">
          <a:extLst>
            <a:ext uri="{FF2B5EF4-FFF2-40B4-BE49-F238E27FC236}">
              <a16:creationId xmlns:a16="http://schemas.microsoft.com/office/drawing/2014/main" id="{E4B2613C-0136-4A5F-9E7E-7F4CA91034D2}"/>
            </a:ext>
          </a:extLst>
        </xdr:cNvPr>
        <xdr:cNvSpPr txBox="1"/>
      </xdr:nvSpPr>
      <xdr:spPr>
        <a:xfrm>
          <a:off x="10912762" y="2250536"/>
          <a:ext cx="7880309" cy="8335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spcBef>
              <a:spcPts val="200"/>
            </a:spcBef>
            <a:spcAft>
              <a:spcPts val="1000"/>
            </a:spcAft>
          </a:pPr>
          <a:r>
            <a:rPr lang="lt-LT" sz="1400" b="1" i="0">
              <a:solidFill>
                <a:schemeClr val="accent3">
                  <a:lumMod val="25000"/>
                </a:schemeClr>
              </a:solidFill>
              <a:effectLst/>
              <a:latin typeface="+mn-lt"/>
              <a:ea typeface="+mn-ea"/>
              <a:cs typeface="+mn-cs"/>
            </a:rPr>
            <a:t>Bazinis transporto priemonių (toliau - TP) kiekis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lang="lt-LT" sz="1400" b="0" i="0">
              <a:solidFill>
                <a:schemeClr val="accent3">
                  <a:lumMod val="25000"/>
                </a:schemeClr>
              </a:solidFill>
              <a:effectLst/>
              <a:latin typeface="+mn-lt"/>
              <a:ea typeface="+mn-ea"/>
              <a:cs typeface="+mn-cs"/>
            </a:rPr>
            <a:t>transporto priemonių parke skaičius</a:t>
          </a:r>
          <a:r>
            <a:rPr lang="lt-LT" sz="1400" b="0" i="0" baseline="0">
              <a:solidFill>
                <a:schemeClr val="accent3">
                  <a:lumMod val="25000"/>
                </a:schemeClr>
              </a:solidFill>
              <a:effectLst/>
              <a:latin typeface="+mn-lt"/>
              <a:ea typeface="+mn-ea"/>
              <a:cs typeface="+mn-cs"/>
            </a:rPr>
            <a:t> prieš </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numatomą teisinį veiklos rodiklio reguliavimą</a:t>
          </a:r>
          <a:r>
            <a:rPr lang="lt-LT" sz="1400" b="0" i="0" baseline="0">
              <a:solidFill>
                <a:schemeClr val="accent3">
                  <a:lumMod val="25000"/>
                </a:schemeClr>
              </a:solidFill>
              <a:effectLst/>
              <a:latin typeface="+mn-lt"/>
              <a:ea typeface="+mn-ea"/>
              <a:cs typeface="+mn-cs"/>
            </a:rPr>
            <a:t>;</a:t>
          </a:r>
        </a:p>
        <a:p>
          <a:pPr marL="0" marR="0" lvl="0" indent="0" algn="l" defTabSz="914400" eaLnBrk="1" fontAlgn="auto" latinLnBrk="0" hangingPunct="1">
            <a:lnSpc>
              <a:spcPct val="150000"/>
            </a:lnSpc>
            <a:spcBef>
              <a:spcPts val="1000"/>
            </a:spcBef>
            <a:spcAft>
              <a:spcPts val="100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Bazinis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 </a:t>
          </a:r>
          <a:r>
            <a:rPr kumimoji="0" lang="lt-LT" sz="1400" b="0" i="0" u="none" strike="noStrike" kern="0" cap="none" spc="0" normalizeH="0" baseline="0" noProof="0">
              <a:ln>
                <a:noFill/>
              </a:ln>
              <a:solidFill>
                <a:srgbClr val="F4FAF6">
                  <a:lumMod val="25000"/>
                </a:srgbClr>
              </a:solidFill>
              <a:effectLst/>
              <a:uLnTx/>
              <a:uFillTx/>
              <a:latin typeface="+mn-lt"/>
              <a:ea typeface="Times New Roman" panose="02020603050405020304" pitchFamily="18" charset="0"/>
              <a:cs typeface="+mn-cs"/>
            </a:rPr>
            <a:t>kuris susidarytų neįgyvendinus teisėkūros iniciatyvos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Atskaitos taškas, nuo kurio vertinamas teisėkūros iniciatyvos poveikis aplinkos oro kokybei;</a:t>
          </a:r>
          <a:endParaRPr lang="lt-LT" sz="1400" b="1" i="0">
            <a:solidFill>
              <a:schemeClr val="accent3">
                <a:lumMod val="25000"/>
              </a:schemeClr>
            </a:solidFill>
            <a:effectLst/>
            <a:latin typeface="+mn-lt"/>
            <a:ea typeface="+mn-ea"/>
            <a:cs typeface="+mn-cs"/>
          </a:endParaRPr>
        </a:p>
        <a:p>
          <a:pPr algn="l">
            <a:lnSpc>
              <a:spcPct val="150000"/>
            </a:lnSpc>
            <a:spcBef>
              <a:spcPts val="200"/>
            </a:spcBef>
            <a:spcAft>
              <a:spcPts val="1000"/>
            </a:spcAft>
          </a:pPr>
          <a:r>
            <a:rPr lang="lt-LT" sz="1400" b="1" i="0">
              <a:solidFill>
                <a:schemeClr val="accent3">
                  <a:lumMod val="25000"/>
                </a:schemeClr>
              </a:solidFill>
              <a:effectLst/>
              <a:latin typeface="+mn-lt"/>
              <a:ea typeface="+mn-ea"/>
              <a:cs typeface="+mn-cs"/>
            </a:rPr>
            <a:t>Dujos - </a:t>
          </a:r>
          <a:r>
            <a:rPr lang="lt-LT" sz="1400" b="0" i="0">
              <a:solidFill>
                <a:schemeClr val="accent3">
                  <a:lumMod val="25000"/>
                </a:schemeClr>
              </a:solidFill>
              <a:effectLst/>
              <a:latin typeface="+mn-lt"/>
              <a:ea typeface="+mn-ea"/>
              <a:cs typeface="+mn-cs"/>
            </a:rPr>
            <a:t>suskystintos naft</a:t>
          </a:r>
          <a:r>
            <a:rPr lang="en-US" sz="1400" b="0" i="0">
              <a:solidFill>
                <a:schemeClr val="accent3">
                  <a:lumMod val="25000"/>
                </a:schemeClr>
              </a:solidFill>
              <a:effectLst/>
              <a:latin typeface="+mn-lt"/>
              <a:ea typeface="+mn-ea"/>
              <a:cs typeface="+mn-cs"/>
            </a:rPr>
            <a:t>os</a:t>
          </a:r>
          <a:r>
            <a:rPr lang="lt-LT" sz="1400" b="0" i="0" baseline="0">
              <a:solidFill>
                <a:schemeClr val="accent3">
                  <a:lumMod val="25000"/>
                </a:schemeClr>
              </a:solidFill>
              <a:effectLst/>
              <a:latin typeface="+mn-lt"/>
              <a:ea typeface="+mn-ea"/>
              <a:cs typeface="+mn-cs"/>
            </a:rPr>
            <a:t> dujos;</a:t>
          </a:r>
        </a:p>
        <a:p>
          <a:pPr algn="l">
            <a:lnSpc>
              <a:spcPct val="150000"/>
            </a:lnSpc>
            <a:spcBef>
              <a:spcPts val="200"/>
            </a:spcBef>
            <a:spcAft>
              <a:spcPts val="1000"/>
            </a:spcAft>
          </a:pPr>
          <a:r>
            <a:rPr lang="lt-LT" sz="1400" b="1" i="0">
              <a:solidFill>
                <a:schemeClr val="accent3">
                  <a:lumMod val="25000"/>
                </a:schemeClr>
              </a:solidFill>
              <a:effectLst/>
              <a:latin typeface="+mn-lt"/>
              <a:ea typeface="+mn-ea"/>
              <a:cs typeface="+mn-cs"/>
            </a:rPr>
            <a:t>Emisijų standartas </a:t>
          </a:r>
          <a:r>
            <a:rPr lang="lt-LT" sz="1400" b="0" i="0" baseline="0">
              <a:solidFill>
                <a:schemeClr val="accent3">
                  <a:lumMod val="25000"/>
                </a:schemeClr>
              </a:solidFill>
              <a:effectLst/>
              <a:latin typeface="+mn-lt"/>
              <a:ea typeface="+mn-ea"/>
              <a:cs typeface="+mn-cs"/>
            </a:rPr>
            <a:t>–</a:t>
          </a:r>
          <a:r>
            <a:rPr lang="lt-LT" sz="1400" b="0" i="0">
              <a:solidFill>
                <a:schemeClr val="accent3">
                  <a:lumMod val="25000"/>
                </a:schemeClr>
              </a:solidFill>
              <a:effectLst/>
              <a:latin typeface="+mn-lt"/>
              <a:ea typeface="+mn-ea"/>
              <a:cs typeface="+mn-cs"/>
            </a:rPr>
            <a:t> transporto priemonių išmetamųjų teršalų lygis</a:t>
          </a:r>
          <a:r>
            <a:rPr lang="lt-LT" sz="1400" b="0" i="0" baseline="0">
              <a:solidFill>
                <a:schemeClr val="accent3">
                  <a:lumMod val="25000"/>
                </a:schemeClr>
              </a:solidFill>
              <a:effectLst/>
              <a:latin typeface="+mn-lt"/>
              <a:ea typeface="+mn-ea"/>
              <a:cs typeface="+mn-cs"/>
            </a:rPr>
            <a:t> (Euro standartas);</a:t>
          </a:r>
          <a:endParaRPr lang="lt-LT" sz="1400" b="0" i="0">
            <a:solidFill>
              <a:schemeClr val="accent3">
                <a:lumMod val="25000"/>
              </a:schemeClr>
            </a:solidFill>
            <a:effectLst/>
            <a:latin typeface="+mn-lt"/>
            <a:ea typeface="+mn-ea"/>
            <a:cs typeface="+mn-cs"/>
          </a:endParaRPr>
        </a:p>
        <a:p>
          <a:pPr algn="l">
            <a:lnSpc>
              <a:spcPct val="150000"/>
            </a:lnSpc>
            <a:spcBef>
              <a:spcPts val="200"/>
            </a:spcBef>
            <a:spcAft>
              <a:spcPts val="1000"/>
            </a:spcAft>
          </a:pPr>
          <a:r>
            <a:rPr lang="lt-LT" sz="1400" b="1" i="0">
              <a:solidFill>
                <a:schemeClr val="accent3">
                  <a:lumMod val="25000"/>
                </a:schemeClr>
              </a:solidFill>
              <a:effectLst/>
              <a:latin typeface="+mn-lt"/>
              <a:ea typeface="+mn-ea"/>
              <a:cs typeface="+mn-cs"/>
            </a:rPr>
            <a:t>KD 2,5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lang="lt-LT" sz="1400" b="0" i="0">
              <a:solidFill>
                <a:schemeClr val="accent3">
                  <a:lumMod val="25000"/>
                </a:schemeClr>
              </a:solidFill>
              <a:effectLst/>
              <a:latin typeface="+mn-lt"/>
              <a:ea typeface="+mn-ea"/>
              <a:cs typeface="+mn-cs"/>
            </a:rPr>
            <a:t>kietosios</a:t>
          </a:r>
          <a:r>
            <a:rPr lang="lt-LT" sz="1400" b="0" i="0" baseline="0">
              <a:solidFill>
                <a:schemeClr val="accent3">
                  <a:lumMod val="25000"/>
                </a:schemeClr>
              </a:solidFill>
              <a:effectLst/>
              <a:latin typeface="+mn-lt"/>
              <a:ea typeface="+mn-ea"/>
              <a:cs typeface="+mn-cs"/>
            </a:rPr>
            <a:t> dalelės, kurių aerodinaminis skersmuo yra 2,5 mikrometrų (</a:t>
          </a:r>
          <a:r>
            <a:rPr lang="el-GR" sz="1400" b="0" i="0" baseline="0">
              <a:solidFill>
                <a:schemeClr val="accent3">
                  <a:lumMod val="25000"/>
                </a:schemeClr>
              </a:solidFill>
              <a:effectLst/>
              <a:latin typeface="+mn-lt"/>
              <a:ea typeface="+mn-ea"/>
              <a:cs typeface="+mn-cs"/>
            </a:rPr>
            <a:t>μ</a:t>
          </a:r>
          <a:r>
            <a:rPr lang="lt-LT" sz="1400" b="0" i="0" baseline="0">
              <a:solidFill>
                <a:schemeClr val="accent3">
                  <a:lumMod val="25000"/>
                </a:schemeClr>
              </a:solidFill>
              <a:effectLst/>
              <a:latin typeface="+mn-lt"/>
              <a:ea typeface="+mn-ea"/>
              <a:cs typeface="+mn-cs"/>
            </a:rPr>
            <a:t>m) arba mažesnis;</a:t>
          </a:r>
          <a:endParaRPr lang="lt-LT" sz="1400" b="1">
            <a:solidFill>
              <a:schemeClr val="accent3">
                <a:lumMod val="25000"/>
              </a:schemeClr>
            </a:solidFill>
            <a:effectLst/>
            <a:latin typeface="+mn-lt"/>
            <a:ea typeface="+mn-ea"/>
            <a:cs typeface="+mn-cs"/>
          </a:endParaRPr>
        </a:p>
        <a:p>
          <a:pPr algn="l">
            <a:lnSpc>
              <a:spcPct val="150000"/>
            </a:lnSpc>
            <a:spcBef>
              <a:spcPts val="200"/>
            </a:spcBef>
            <a:spcAft>
              <a:spcPts val="1000"/>
            </a:spcAft>
          </a:pP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NH</a:t>
          </a:r>
          <a:r>
            <a:rPr kumimoji="0" lang="lt-LT" sz="1400" b="1" i="0" u="none" strike="noStrike" kern="0" cap="none" spc="0" normalizeH="0" baseline="-25000" noProof="0">
              <a:ln>
                <a:noFill/>
              </a:ln>
              <a:solidFill>
                <a:srgbClr val="F4FAF6">
                  <a:lumMod val="25000"/>
                </a:srgbClr>
              </a:solidFill>
              <a:effectLst/>
              <a:uLnTx/>
              <a:uFillTx/>
              <a:latin typeface="+mn-lt"/>
              <a:ea typeface="+mn-ea"/>
              <a:cs typeface="+mn-cs"/>
            </a:rPr>
            <a:t>3</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 amoniakas</a:t>
          </a:r>
          <a:r>
            <a:rPr lang="lt-LT" sz="1400" b="0">
              <a:solidFill>
                <a:schemeClr val="accent3">
                  <a:lumMod val="25000"/>
                </a:schemeClr>
              </a:solidFill>
              <a:effectLst/>
              <a:latin typeface="+mn-lt"/>
              <a:ea typeface="+mn-ea"/>
              <a:cs typeface="+mn-cs"/>
            </a:rPr>
            <a:t>;</a:t>
          </a:r>
          <a:endParaRPr lang="lt-LT" sz="1400" b="1">
            <a:solidFill>
              <a:schemeClr val="accent3">
                <a:lumMod val="25000"/>
              </a:schemeClr>
            </a:solidFill>
            <a:effectLst/>
            <a:latin typeface="+mn-lt"/>
            <a:ea typeface="+mn-ea"/>
            <a:cs typeface="+mn-cs"/>
          </a:endParaRPr>
        </a:p>
        <a:p>
          <a:pPr algn="l">
            <a:lnSpc>
              <a:spcPct val="150000"/>
            </a:lnSpc>
            <a:spcBef>
              <a:spcPts val="200"/>
            </a:spcBef>
            <a:spcAft>
              <a:spcPts val="1000"/>
            </a:spcAft>
          </a:pPr>
          <a:r>
            <a:rPr lang="lt-LT" sz="1400" b="1">
              <a:solidFill>
                <a:schemeClr val="accent3">
                  <a:lumMod val="25000"/>
                </a:schemeClr>
              </a:solidFill>
              <a:effectLst/>
              <a:latin typeface="+mn-lt"/>
              <a:ea typeface="+mn-ea"/>
              <a:cs typeface="+mn-cs"/>
            </a:rPr>
            <a:t>NMLOJ - </a:t>
          </a:r>
          <a:r>
            <a:rPr lang="lt-LT" sz="1400" b="0">
              <a:solidFill>
                <a:schemeClr val="accent3">
                  <a:lumMod val="25000"/>
                </a:schemeClr>
              </a:solidFill>
              <a:effectLst/>
              <a:latin typeface="+mn-lt"/>
              <a:ea typeface="+mn-ea"/>
              <a:cs typeface="+mn-cs"/>
            </a:rPr>
            <a:t>nemetatiniai lakieji organiniai junginiai. Visi lakieji</a:t>
          </a:r>
          <a:r>
            <a:rPr lang="lt-LT" sz="1400" b="0" baseline="0">
              <a:solidFill>
                <a:schemeClr val="accent3">
                  <a:lumMod val="25000"/>
                </a:schemeClr>
              </a:solidFill>
              <a:effectLst/>
              <a:latin typeface="+mn-lt"/>
              <a:ea typeface="+mn-ea"/>
              <a:cs typeface="+mn-cs"/>
            </a:rPr>
            <a:t> </a:t>
          </a:r>
          <a:r>
            <a:rPr lang="lt-LT" sz="1400" b="0">
              <a:solidFill>
                <a:schemeClr val="accent3">
                  <a:lumMod val="25000"/>
                </a:schemeClr>
              </a:solidFill>
              <a:effectLst/>
              <a:latin typeface="+mn-lt"/>
              <a:ea typeface="+mn-ea"/>
              <a:cs typeface="+mn-cs"/>
            </a:rPr>
            <a:t> organiniai junginiai, išskyrus metaną, kuriems saulės šviesoje reaguojant su azoto oksidais gali susidaryti fotocheminių oksidatorių;</a:t>
          </a:r>
          <a:endParaRPr lang="lt-LT" sz="1400" b="1">
            <a:solidFill>
              <a:schemeClr val="accent3">
                <a:lumMod val="25000"/>
              </a:schemeClr>
            </a:solidFill>
            <a:effectLst/>
            <a:latin typeface="+mn-lt"/>
            <a:ea typeface="+mn-ea"/>
            <a:cs typeface="+mn-cs"/>
          </a:endParaRPr>
        </a:p>
        <a:p>
          <a:pPr algn="l">
            <a:lnSpc>
              <a:spcPct val="150000"/>
            </a:lnSpc>
            <a:spcBef>
              <a:spcPts val="200"/>
            </a:spcBef>
            <a:spcAft>
              <a:spcPts val="1000"/>
            </a:spcAft>
          </a:pPr>
          <a:r>
            <a:rPr lang="lt-LT" sz="1400" b="1">
              <a:solidFill>
                <a:schemeClr val="accent3">
                  <a:lumMod val="25000"/>
                </a:schemeClr>
              </a:solidFill>
              <a:effectLst/>
              <a:latin typeface="+mn-lt"/>
              <a:ea typeface="+mn-ea"/>
              <a:cs typeface="+mn-cs"/>
            </a:rPr>
            <a:t>NOx - </a:t>
          </a:r>
          <a:r>
            <a:rPr lang="lt-LT" sz="1400" b="0">
              <a:solidFill>
                <a:schemeClr val="accent3">
                  <a:lumMod val="25000"/>
                </a:schemeClr>
              </a:solidFill>
              <a:effectLst/>
              <a:latin typeface="+mn-lt"/>
              <a:ea typeface="+mn-ea"/>
              <a:cs typeface="+mn-cs"/>
            </a:rPr>
            <a:t>azoto oksidai</a:t>
          </a:r>
          <a:r>
            <a:rPr lang="en-US" sz="1400" b="0">
              <a:solidFill>
                <a:schemeClr val="accent3">
                  <a:lumMod val="25000"/>
                </a:schemeClr>
              </a:solidFill>
              <a:effectLst/>
              <a:latin typeface="+mn-lt"/>
              <a:ea typeface="+mn-ea"/>
              <a:cs typeface="+mn-cs"/>
            </a:rPr>
            <a:t>;</a:t>
          </a:r>
        </a:p>
        <a:p>
          <a:pPr algn="l">
            <a:lnSpc>
              <a:spcPct val="150000"/>
            </a:lnSpc>
            <a:spcBef>
              <a:spcPts val="200"/>
            </a:spcBef>
            <a:spcAft>
              <a:spcPts val="1000"/>
            </a:spcAft>
          </a:pPr>
          <a:r>
            <a:rPr lang="lt-LT" sz="1400" b="1" i="0">
              <a:solidFill>
                <a:schemeClr val="accent3">
                  <a:lumMod val="25000"/>
                </a:schemeClr>
              </a:solidFill>
              <a:effectLst/>
              <a:latin typeface="+mn-lt"/>
              <a:ea typeface="+mn-ea"/>
              <a:cs typeface="+mn-cs"/>
            </a:rPr>
            <a:t>Projektinis TP kiekis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lang="lt-LT" sz="1400" b="0" i="0">
              <a:solidFill>
                <a:schemeClr val="accent3">
                  <a:lumMod val="25000"/>
                </a:schemeClr>
              </a:solidFill>
              <a:effectLst/>
              <a:latin typeface="+mn-lt"/>
              <a:ea typeface="+mn-ea"/>
              <a:cs typeface="+mn-cs"/>
            </a:rPr>
            <a:t>transporto priemonių parke skaičius</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jei numatomas teisinis veiklos rodiklio reguliavimas būtų įgyvendintas;</a:t>
          </a:r>
        </a:p>
        <a:p>
          <a:pPr marL="0" marR="0" lvl="0" indent="0" algn="l" defTabSz="914400" eaLnBrk="1" fontAlgn="auto" latinLnBrk="0" hangingPunct="1">
            <a:lnSpc>
              <a:spcPct val="150000"/>
            </a:lnSpc>
            <a:spcBef>
              <a:spcPts val="1000"/>
            </a:spcBef>
            <a:spcAft>
              <a:spcPts val="100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Projektinis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 </a:t>
          </a:r>
          <a:r>
            <a:rPr kumimoji="0" lang="lt-LT" sz="1400" b="0" i="0" u="none" strike="noStrike" kern="0" cap="none" spc="0" normalizeH="0" baseline="0" noProof="0">
              <a:ln>
                <a:noFill/>
              </a:ln>
              <a:solidFill>
                <a:srgbClr val="F4FAF6">
                  <a:lumMod val="25000"/>
                </a:srgbClr>
              </a:solidFill>
              <a:effectLst/>
              <a:uLnTx/>
              <a:uFillTx/>
              <a:latin typeface="+mn-lt"/>
              <a:ea typeface="Times New Roman" panose="02020603050405020304" pitchFamily="18" charset="0"/>
              <a:cs typeface="+mn-cs"/>
            </a:rPr>
            <a:t>kuris susidarytų įgyvendinus teisėkūros iniciatyvą;</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a:t>
          </a:r>
          <a:endParaRPr kumimoji="0" lang="lt-LT" sz="1400" b="0" i="0" u="none" strike="noStrike" kern="0" cap="none" spc="0" normalizeH="0" baseline="0" noProof="0">
            <a:ln>
              <a:noFill/>
            </a:ln>
            <a:solidFill>
              <a:schemeClr val="accent3">
                <a:lumMod val="25000"/>
              </a:schemeClr>
            </a:solidFill>
            <a:effectLst/>
            <a:uLnTx/>
            <a:uFillTx/>
            <a:latin typeface="+mn-lt"/>
            <a:ea typeface="+mn-ea"/>
            <a:cs typeface="+mn-cs"/>
          </a:endParaRPr>
        </a:p>
        <a:p>
          <a:pPr marL="0" marR="0" lvl="0" indent="0" algn="l" defTabSz="914400" eaLnBrk="1" fontAlgn="auto" latinLnBrk="0" hangingPunct="1">
            <a:lnSpc>
              <a:spcPct val="150000"/>
            </a:lnSpc>
            <a:spcBef>
              <a:spcPts val="200"/>
            </a:spcBef>
            <a:spcAft>
              <a:spcPts val="10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Poveikio vertinimas</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 teisėkūros iniciatyvos poveikio aplinkos oro teršalų kiekių pokyčiams vertinimas; </a:t>
          </a:r>
          <a:endParaRPr lang="lt-LT" sz="1400" b="1">
            <a:solidFill>
              <a:schemeClr val="accent3">
                <a:lumMod val="25000"/>
              </a:schemeClr>
            </a:solidFill>
            <a:effectLst/>
            <a:latin typeface="+mn-lt"/>
            <a:ea typeface="+mn-ea"/>
            <a:cs typeface="+mn-cs"/>
          </a:endParaRPr>
        </a:p>
        <a:p>
          <a:pPr marL="0" marR="0" lvl="0" indent="0" algn="l" defTabSz="914400" eaLnBrk="1" fontAlgn="auto" latinLnBrk="0" hangingPunct="1">
            <a:lnSpc>
              <a:spcPct val="150000"/>
            </a:lnSpc>
            <a:spcBef>
              <a:spcPts val="200"/>
            </a:spcBef>
            <a:spcAft>
              <a:spcPts val="10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Teršalo (NOx, NMLOJ, KD 2.5, NH</a:t>
          </a:r>
          <a:r>
            <a:rPr kumimoji="0" lang="lt-LT" sz="1400" b="1" i="0" u="none" strike="noStrike" kern="0" cap="none" spc="0" normalizeH="0" baseline="-25000" noProof="0">
              <a:ln>
                <a:noFill/>
              </a:ln>
              <a:solidFill>
                <a:schemeClr val="accent3">
                  <a:lumMod val="25000"/>
                </a:schemeClr>
              </a:solidFill>
              <a:effectLst/>
              <a:uLnTx/>
              <a:uFillTx/>
              <a:latin typeface="+mn-lt"/>
              <a:ea typeface="+mn-ea"/>
              <a:cs typeface="+mn-cs"/>
            </a:rPr>
            <a:t>3</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 kiekio pokytis </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skirtumas tarp bazinio teršalo kiekio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ir projektinio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teršalo kiekio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susidar</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ęs</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per teisėkūros iniciatyvos taikymo laikotarpį</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a:t>
          </a:r>
          <a:endParaRPr kumimoji="0" lang="lt-LT" sz="1400" b="1" i="0" u="none" strike="noStrike" kern="0" cap="none" spc="0" normalizeH="0" baseline="0" noProof="0">
            <a:ln>
              <a:noFill/>
            </a:ln>
            <a:solidFill>
              <a:schemeClr val="accent3">
                <a:lumMod val="25000"/>
              </a:schemeClr>
            </a:solidFill>
            <a:effectLst/>
            <a:uLnTx/>
            <a:uFillTx/>
            <a:latin typeface="+mn-lt"/>
            <a:ea typeface="+mn-ea"/>
            <a:cs typeface="+mn-cs"/>
          </a:endParaRPr>
        </a:p>
        <a:p>
          <a:pPr marL="0" marR="0" lvl="0" indent="0" defTabSz="914400" eaLnBrk="1" fontAlgn="auto" latinLnBrk="0" hangingPunct="1">
            <a:lnSpc>
              <a:spcPct val="150000"/>
            </a:lnSpc>
            <a:spcBef>
              <a:spcPts val="200"/>
            </a:spcBef>
            <a:spcAft>
              <a:spcPts val="10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Variantas (1-</a:t>
          </a:r>
          <a:r>
            <a:rPr kumimoji="0" lang="en-US" sz="1400" b="1" i="0" u="none" strike="noStrike" kern="0" cap="none" spc="0" normalizeH="0" baseline="0" noProof="0">
              <a:ln>
                <a:noFill/>
              </a:ln>
              <a:solidFill>
                <a:schemeClr val="accent3">
                  <a:lumMod val="25000"/>
                </a:schemeClr>
              </a:solidFill>
              <a:effectLst/>
              <a:uLnTx/>
              <a:uFillTx/>
              <a:latin typeface="+mn-lt"/>
              <a:ea typeface="+mn-ea"/>
              <a:cs typeface="+mn-cs"/>
            </a:rPr>
            <a:t>6</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 specifinėmis prielaidomis ir parametrų duomenimis paremtas teisėkūros iniciatyvos poveikio teršalų kiekių pokyčiams analizės variantas.</a:t>
          </a:r>
        </a:p>
        <a:p>
          <a:pPr algn="l">
            <a:lnSpc>
              <a:spcPct val="100000"/>
            </a:lnSpc>
            <a:spcBef>
              <a:spcPts val="500"/>
            </a:spcBef>
            <a:spcAft>
              <a:spcPts val="500"/>
            </a:spcAft>
          </a:pPr>
          <a:endParaRPr lang="lt-LT" sz="1400" b="1">
            <a:solidFill>
              <a:schemeClr val="accent3">
                <a:lumMod val="25000"/>
              </a:schemeClr>
            </a:solidFill>
            <a:effectLst/>
            <a:latin typeface="+mn-lt"/>
            <a:ea typeface="+mn-ea"/>
            <a:cs typeface="+mn-cs"/>
          </a:endParaRPr>
        </a:p>
        <a:p>
          <a:pPr>
            <a:spcAft>
              <a:spcPts val="400"/>
            </a:spcAft>
          </a:pPr>
          <a:endParaRPr lang="lt-LT" sz="1400" i="1">
            <a:solidFill>
              <a:schemeClr val="accent3">
                <a:lumMod val="25000"/>
              </a:schemeClr>
            </a:solidFill>
            <a:effectLst/>
            <a:latin typeface="+mn-lt"/>
            <a:ea typeface="+mn-ea"/>
            <a:cs typeface="+mn-cs"/>
          </a:endParaRPr>
        </a:p>
        <a:p>
          <a:endParaRPr lang="lt-LT" sz="1400">
            <a:solidFill>
              <a:schemeClr val="accent3">
                <a:lumMod val="25000"/>
              </a:schemeClr>
            </a:solidFill>
          </a:endParaRPr>
        </a:p>
      </xdr:txBody>
    </xdr:sp>
    <xdr:clientData/>
  </xdr:twoCellAnchor>
  <xdr:twoCellAnchor>
    <xdr:from>
      <xdr:col>0</xdr:col>
      <xdr:colOff>171208</xdr:colOff>
      <xdr:row>0</xdr:row>
      <xdr:rowOff>148291</xdr:rowOff>
    </xdr:from>
    <xdr:to>
      <xdr:col>3</xdr:col>
      <xdr:colOff>141444</xdr:colOff>
      <xdr:row>57</xdr:row>
      <xdr:rowOff>80819</xdr:rowOff>
    </xdr:to>
    <xdr:sp macro="" textlink="">
      <xdr:nvSpPr>
        <xdr:cNvPr id="49" name="Stačiakampis: suapvalinti kampai 4">
          <a:extLst>
            <a:ext uri="{FF2B5EF4-FFF2-40B4-BE49-F238E27FC236}">
              <a16:creationId xmlns:a16="http://schemas.microsoft.com/office/drawing/2014/main" id="{1DAEA694-B2A1-4A5E-95B4-0BFED1212AA9}"/>
            </a:ext>
          </a:extLst>
        </xdr:cNvPr>
        <xdr:cNvSpPr/>
      </xdr:nvSpPr>
      <xdr:spPr>
        <a:xfrm>
          <a:off x="171208" y="148291"/>
          <a:ext cx="1909872" cy="10889164"/>
        </a:xfrm>
        <a:prstGeom prst="roundRect">
          <a:avLst>
            <a:gd name="adj" fmla="val 4546"/>
          </a:avLst>
        </a:prstGeom>
        <a:solidFill>
          <a:schemeClr val="accent5">
            <a:lumMod val="40000"/>
            <a:lumOff val="60000"/>
          </a:schemeClr>
        </a:solidFill>
        <a:ln>
          <a:solidFill>
            <a:schemeClr val="bg1">
              <a:lumMod val="20000"/>
              <a:lumOff val="80000"/>
            </a:schemeClr>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xdr:col>
      <xdr:colOff>186192</xdr:colOff>
      <xdr:row>27</xdr:row>
      <xdr:rowOff>15094</xdr:rowOff>
    </xdr:from>
    <xdr:to>
      <xdr:col>2</xdr:col>
      <xdr:colOff>94413</xdr:colOff>
      <xdr:row>29</xdr:row>
      <xdr:rowOff>64070</xdr:rowOff>
    </xdr:to>
    <xdr:pic>
      <xdr:nvPicPr>
        <xdr:cNvPr id="50" name="Grafinis elementas 10" descr="Envelope outline">
          <a:extLst>
            <a:ext uri="{FF2B5EF4-FFF2-40B4-BE49-F238E27FC236}">
              <a16:creationId xmlns:a16="http://schemas.microsoft.com/office/drawing/2014/main" id="{3D008E93-0DFA-402D-8953-E5F58FFFF2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98513" y="5553201"/>
          <a:ext cx="520543" cy="429976"/>
        </a:xfrm>
        <a:prstGeom prst="rect">
          <a:avLst/>
        </a:prstGeom>
      </xdr:spPr>
    </xdr:pic>
    <xdr:clientData/>
  </xdr:twoCellAnchor>
  <xdr:twoCellAnchor>
    <xdr:from>
      <xdr:col>0</xdr:col>
      <xdr:colOff>580713</xdr:colOff>
      <xdr:row>29</xdr:row>
      <xdr:rowOff>76110</xdr:rowOff>
    </xdr:from>
    <xdr:to>
      <xdr:col>3</xdr:col>
      <xdr:colOff>118573</xdr:colOff>
      <xdr:row>30</xdr:row>
      <xdr:rowOff>151494</xdr:rowOff>
    </xdr:to>
    <xdr:sp macro="" textlink="">
      <xdr:nvSpPr>
        <xdr:cNvPr id="62" name="TextBox 21">
          <a:extLst>
            <a:ext uri="{FF2B5EF4-FFF2-40B4-BE49-F238E27FC236}">
              <a16:creationId xmlns:a16="http://schemas.microsoft.com/office/drawing/2014/main" id="{9138D902-D1F3-408C-B1F8-455508BC7B32}"/>
            </a:ext>
          </a:extLst>
        </xdr:cNvPr>
        <xdr:cNvSpPr txBox="1"/>
      </xdr:nvSpPr>
      <xdr:spPr>
        <a:xfrm>
          <a:off x="580713" y="5995217"/>
          <a:ext cx="1374824" cy="26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xdr:col>
      <xdr:colOff>332817</xdr:colOff>
      <xdr:row>33</xdr:row>
      <xdr:rowOff>101454</xdr:rowOff>
    </xdr:from>
    <xdr:to>
      <xdr:col>2</xdr:col>
      <xdr:colOff>92117</xdr:colOff>
      <xdr:row>35</xdr:row>
      <xdr:rowOff>95917</xdr:rowOff>
    </xdr:to>
    <xdr:pic>
      <xdr:nvPicPr>
        <xdr:cNvPr id="64" name="Grafinis elementas 12" descr="Receiver outline">
          <a:extLst>
            <a:ext uri="{FF2B5EF4-FFF2-40B4-BE49-F238E27FC236}">
              <a16:creationId xmlns:a16="http://schemas.microsoft.com/office/drawing/2014/main" id="{20E39014-A821-4B8E-B7E2-8095149E525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42417" y="6730854"/>
          <a:ext cx="368900" cy="375463"/>
        </a:xfrm>
        <a:prstGeom prst="rect">
          <a:avLst/>
        </a:prstGeom>
      </xdr:spPr>
    </xdr:pic>
    <xdr:clientData/>
  </xdr:twoCellAnchor>
  <xdr:twoCellAnchor>
    <xdr:from>
      <xdr:col>0</xdr:col>
      <xdr:colOff>561199</xdr:colOff>
      <xdr:row>36</xdr:row>
      <xdr:rowOff>28986</xdr:rowOff>
    </xdr:from>
    <xdr:to>
      <xdr:col>3</xdr:col>
      <xdr:colOff>92810</xdr:colOff>
      <xdr:row>37</xdr:row>
      <xdr:rowOff>93840</xdr:rowOff>
    </xdr:to>
    <xdr:sp macro="" textlink="">
      <xdr:nvSpPr>
        <xdr:cNvPr id="56" name="TextBox 24">
          <a:extLst>
            <a:ext uri="{FF2B5EF4-FFF2-40B4-BE49-F238E27FC236}">
              <a16:creationId xmlns:a16="http://schemas.microsoft.com/office/drawing/2014/main" id="{E26CE236-A8F2-40BE-9D8F-C92DCC80A250}"/>
            </a:ext>
          </a:extLst>
        </xdr:cNvPr>
        <xdr:cNvSpPr txBox="1"/>
      </xdr:nvSpPr>
      <xdr:spPr>
        <a:xfrm>
          <a:off x="561199" y="7229886"/>
          <a:ext cx="1360411" cy="255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4</xdr:col>
      <xdr:colOff>162049</xdr:colOff>
      <xdr:row>17</xdr:row>
      <xdr:rowOff>171534</xdr:rowOff>
    </xdr:from>
    <xdr:to>
      <xdr:col>16</xdr:col>
      <xdr:colOff>153307</xdr:colOff>
      <xdr:row>31</xdr:row>
      <xdr:rowOff>107458</xdr:rowOff>
    </xdr:to>
    <xdr:sp macro="" textlink="">
      <xdr:nvSpPr>
        <xdr:cNvPr id="65" name="TextBox 4">
          <a:extLst>
            <a:ext uri="{FF2B5EF4-FFF2-40B4-BE49-F238E27FC236}">
              <a16:creationId xmlns:a16="http://schemas.microsoft.com/office/drawing/2014/main" id="{2785BA96-E2E1-475F-A62A-4F1C5BE44DFB}"/>
            </a:ext>
          </a:extLst>
        </xdr:cNvPr>
        <xdr:cNvSpPr txBox="1"/>
      </xdr:nvSpPr>
      <xdr:spPr>
        <a:xfrm>
          <a:off x="2738335" y="3509820"/>
          <a:ext cx="8082972" cy="2657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800"/>
            </a:spcAft>
          </a:pPr>
          <a:r>
            <a:rPr lang="en-US" sz="1600" b="1">
              <a:solidFill>
                <a:schemeClr val="accent3">
                  <a:lumMod val="25000"/>
                </a:schemeClr>
              </a:solidFill>
              <a:effectLst/>
              <a:latin typeface="+mn-lt"/>
              <a:ea typeface="+mn-ea"/>
              <a:cs typeface="+mn-cs"/>
            </a:rPr>
            <a:t>NAVIGACIJA</a:t>
          </a:r>
          <a:endParaRPr lang="lt-LT" sz="1600">
            <a:solidFill>
              <a:schemeClr val="accent3">
                <a:lumMod val="25000"/>
              </a:schemeClr>
            </a:solidFill>
            <a:effectLst/>
            <a:latin typeface="+mn-lt"/>
            <a:ea typeface="+mn-ea"/>
            <a:cs typeface="+mn-cs"/>
          </a:endParaRPr>
        </a:p>
        <a:p>
          <a:pPr>
            <a:lnSpc>
              <a:spcPct val="150000"/>
            </a:lnSpc>
          </a:pPr>
          <a:r>
            <a:rPr lang="lt-LT" sz="1400" b="1">
              <a:solidFill>
                <a:schemeClr val="accent3">
                  <a:lumMod val="25000"/>
                </a:schemeClr>
              </a:solidFill>
              <a:effectLst/>
              <a:latin typeface="+mn-lt"/>
              <a:ea typeface="+mn-ea"/>
              <a:cs typeface="+mn-cs"/>
            </a:rPr>
            <a:t>Pradžia</a:t>
          </a:r>
          <a:r>
            <a:rPr lang="lt-LT" sz="1400">
              <a:solidFill>
                <a:schemeClr val="accent3">
                  <a:lumMod val="25000"/>
                </a:schemeClr>
              </a:solidFill>
              <a:effectLst/>
              <a:latin typeface="+mn-lt"/>
              <a:ea typeface="+mn-ea"/>
              <a:cs typeface="+mn-cs"/>
            </a:rPr>
            <a:t>: įvadinis skyrius, supažindinantis su skaičiuoklės tikslais, struktūra, terminologija, kontaktinė informacija. </a:t>
          </a:r>
        </a:p>
        <a:p>
          <a:pPr>
            <a:lnSpc>
              <a:spcPct val="150000"/>
            </a:lnSpc>
          </a:pPr>
          <a:r>
            <a:rPr lang="lt-LT" sz="1400" b="1">
              <a:solidFill>
                <a:schemeClr val="accent3">
                  <a:lumMod val="25000"/>
                </a:schemeClr>
              </a:solidFill>
              <a:effectLst/>
              <a:latin typeface="+mn-lt"/>
              <a:ea typeface="+mn-ea"/>
              <a:cs typeface="+mn-cs"/>
            </a:rPr>
            <a:t>Naudojimo instrukcija</a:t>
          </a:r>
          <a:r>
            <a:rPr lang="lt-LT" sz="1400">
              <a:solidFill>
                <a:schemeClr val="accent3">
                  <a:lumMod val="25000"/>
                </a:schemeClr>
              </a:solidFill>
              <a:effectLst/>
              <a:latin typeface="+mn-lt"/>
              <a:ea typeface="+mn-ea"/>
              <a:cs typeface="+mn-cs"/>
            </a:rPr>
            <a:t>: pateikiama informacija, kaip efektyviai naudoti skaičiuoklę – atlikti duomenų įvestis, gauti ir interpretuoti rezultatus. </a:t>
          </a:r>
        </a:p>
        <a:p>
          <a:pPr>
            <a:lnSpc>
              <a:spcPct val="150000"/>
            </a:lnSpc>
          </a:pPr>
          <a:r>
            <a:rPr lang="lt-LT" sz="1400" b="1">
              <a:solidFill>
                <a:schemeClr val="accent3">
                  <a:lumMod val="25000"/>
                </a:schemeClr>
              </a:solidFill>
              <a:effectLst/>
              <a:latin typeface="+mn-lt"/>
              <a:ea typeface="+mn-ea"/>
              <a:cs typeface="+mn-cs"/>
            </a:rPr>
            <a:t>Skaičiuoklė</a:t>
          </a:r>
          <a:r>
            <a:rPr lang="lt-LT" sz="1400">
              <a:solidFill>
                <a:schemeClr val="accent3">
                  <a:lumMod val="25000"/>
                </a:schemeClr>
              </a:solidFill>
              <a:effectLst/>
              <a:latin typeface="+mn-lt"/>
              <a:ea typeface="+mn-ea"/>
              <a:cs typeface="+mn-cs"/>
            </a:rPr>
            <a:t>: pateikiama interaktyvi skaičiavimo platforma, leidžianti atlikti kiekybinį </a:t>
          </a:r>
          <a:r>
            <a:rPr lang="en-US" sz="1400">
              <a:solidFill>
                <a:schemeClr val="accent3">
                  <a:lumMod val="25000"/>
                </a:schemeClr>
              </a:solidFill>
              <a:effectLst/>
              <a:latin typeface="+mn-lt"/>
              <a:ea typeface="+mn-ea"/>
              <a:cs typeface="+mn-cs"/>
            </a:rPr>
            <a:t>P</a:t>
          </a:r>
          <a:r>
            <a:rPr lang="lt-LT" sz="1400">
              <a:solidFill>
                <a:schemeClr val="accent3">
                  <a:lumMod val="25000"/>
                </a:schemeClr>
              </a:solidFill>
              <a:effectLst/>
              <a:latin typeface="+mn-lt"/>
              <a:ea typeface="+mn-ea"/>
              <a:cs typeface="+mn-cs"/>
            </a:rPr>
            <a:t>oveikio vertinimą.</a:t>
          </a:r>
        </a:p>
        <a:p>
          <a:pPr>
            <a:lnSpc>
              <a:spcPct val="150000"/>
            </a:lnSpc>
          </a:pPr>
          <a:r>
            <a:rPr lang="lt-LT" sz="1400" b="1">
              <a:solidFill>
                <a:schemeClr val="accent3">
                  <a:lumMod val="25000"/>
                </a:schemeClr>
              </a:solidFill>
              <a:effectLst/>
              <a:latin typeface="+mn-lt"/>
              <a:ea typeface="+mn-ea"/>
              <a:cs typeface="+mn-cs"/>
            </a:rPr>
            <a:t>Atnaujinimas</a:t>
          </a:r>
          <a:r>
            <a:rPr lang="lt-LT" sz="1400">
              <a:solidFill>
                <a:schemeClr val="accent3">
                  <a:lumMod val="25000"/>
                </a:schemeClr>
              </a:solidFill>
              <a:effectLst/>
              <a:latin typeface="+mn-lt"/>
              <a:ea typeface="+mn-ea"/>
              <a:cs typeface="+mn-cs"/>
            </a:rPr>
            <a:t>: pateikiama visa istorija apie skaičiuoklės atnaujinimus. Skaičiuoklė nuolat tobulinama. </a:t>
          </a:r>
        </a:p>
        <a:p>
          <a:endParaRPr lang="lt-LT" sz="1400">
            <a:solidFill>
              <a:schemeClr val="accent3">
                <a:lumMod val="25000"/>
              </a:schemeClr>
            </a:solidFill>
          </a:endParaRPr>
        </a:p>
      </xdr:txBody>
    </xdr:sp>
    <xdr:clientData/>
  </xdr:twoCellAnchor>
  <xdr:twoCellAnchor>
    <xdr:from>
      <xdr:col>4</xdr:col>
      <xdr:colOff>181675</xdr:colOff>
      <xdr:row>44</xdr:row>
      <xdr:rowOff>169269</xdr:rowOff>
    </xdr:from>
    <xdr:to>
      <xdr:col>15</xdr:col>
      <xdr:colOff>1090387</xdr:colOff>
      <xdr:row>53</xdr:row>
      <xdr:rowOff>151825</xdr:rowOff>
    </xdr:to>
    <xdr:sp macro="" textlink="">
      <xdr:nvSpPr>
        <xdr:cNvPr id="67" name="TextBox 5">
          <a:extLst>
            <a:ext uri="{FF2B5EF4-FFF2-40B4-BE49-F238E27FC236}">
              <a16:creationId xmlns:a16="http://schemas.microsoft.com/office/drawing/2014/main" id="{32D1446F-5168-48BB-9ED7-0329230CBFBD}"/>
            </a:ext>
          </a:extLst>
        </xdr:cNvPr>
        <xdr:cNvSpPr txBox="1"/>
      </xdr:nvSpPr>
      <xdr:spPr>
        <a:xfrm>
          <a:off x="2767857" y="8724451"/>
          <a:ext cx="7605075" cy="1645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lang="lt-LT" sz="1400" i="0">
              <a:solidFill>
                <a:schemeClr val="accent3">
                  <a:lumMod val="25000"/>
                </a:schemeClr>
              </a:solidFill>
            </a:rPr>
            <a:t>Rekomenduojami</a:t>
          </a:r>
          <a:r>
            <a:rPr lang="lt-LT" sz="1400" i="0" baseline="0">
              <a:solidFill>
                <a:schemeClr val="accent3">
                  <a:lumMod val="25000"/>
                </a:schemeClr>
              </a:solidFill>
            </a:rPr>
            <a:t> citavimo būdai:</a:t>
          </a:r>
        </a:p>
        <a:p>
          <a:pPr marL="0" marR="0" lvl="0" indent="0" defTabSz="914400" eaLnBrk="1" fontAlgn="auto" latinLnBrk="0" hangingPunct="1">
            <a:lnSpc>
              <a:spcPct val="150000"/>
            </a:lnSpc>
            <a:spcBef>
              <a:spcPts val="0"/>
            </a:spcBef>
            <a:spcAft>
              <a:spcPts val="0"/>
            </a:spcAft>
            <a:buClrTx/>
            <a:buSzTx/>
            <a:buFontTx/>
            <a:buNone/>
            <a:tabLst/>
            <a:defRPr/>
          </a:pPr>
          <a:r>
            <a:rPr lang="en-US" sz="1400">
              <a:solidFill>
                <a:schemeClr val="accent3">
                  <a:lumMod val="25000"/>
                </a:schemeClr>
              </a:solidFill>
              <a:effectLst/>
              <a:latin typeface="+mn-lt"/>
              <a:ea typeface="+mn-ea"/>
              <a:cs typeface="+mn-cs"/>
            </a:rPr>
            <a:t>Aplinkos apsaugos agent</a:t>
          </a:r>
          <a:r>
            <a:rPr lang="lt-LT" sz="1400">
              <a:solidFill>
                <a:schemeClr val="accent3">
                  <a:lumMod val="25000"/>
                </a:schemeClr>
              </a:solidFill>
              <a:effectLst/>
              <a:latin typeface="+mn-lt"/>
              <a:ea typeface="+mn-ea"/>
              <a:cs typeface="+mn-cs"/>
            </a:rPr>
            <a:t>ūra</a:t>
          </a:r>
          <a:r>
            <a:rPr lang="lt-LT" sz="1400" baseline="0">
              <a:solidFill>
                <a:schemeClr val="accent3">
                  <a:lumMod val="25000"/>
                </a:schemeClr>
              </a:solidFill>
              <a:effectLst/>
              <a:latin typeface="+mn-lt"/>
              <a:ea typeface="+mn-ea"/>
              <a:cs typeface="+mn-cs"/>
            </a:rPr>
            <a:t> (metai</a:t>
          </a:r>
          <a:r>
            <a:rPr lang="en-US" sz="1400" baseline="0">
              <a:solidFill>
                <a:schemeClr val="accent3">
                  <a:lumMod val="25000"/>
                </a:schemeClr>
              </a:solidFill>
              <a:effectLst/>
              <a:latin typeface="+mn-lt"/>
              <a:ea typeface="+mn-ea"/>
              <a:cs typeface="+mn-cs"/>
            </a:rPr>
            <a:t>).</a:t>
          </a:r>
          <a:r>
            <a:rPr lang="lt-LT" sz="1400">
              <a:solidFill>
                <a:schemeClr val="accent3">
                  <a:lumMod val="25000"/>
                </a:schemeClr>
              </a:solidFill>
              <a:effectLst/>
              <a:latin typeface="+mn-lt"/>
              <a:ea typeface="+mn-ea"/>
              <a:cs typeface="+mn-cs"/>
            </a:rPr>
            <a:t> </a:t>
          </a:r>
          <a:r>
            <a:rPr lang="en-US" sz="1400">
              <a:solidFill>
                <a:schemeClr val="accent3">
                  <a:lumMod val="25000"/>
                </a:schemeClr>
              </a:solidFill>
              <a:effectLst/>
              <a:latin typeface="+mn-lt"/>
              <a:ea typeface="+mn-ea"/>
              <a:cs typeface="+mn-cs"/>
            </a:rPr>
            <a:t>K</a:t>
          </a:r>
          <a:r>
            <a:rPr lang="lt-LT" sz="1400">
              <a:solidFill>
                <a:schemeClr val="accent3">
                  <a:lumMod val="25000"/>
                </a:schemeClr>
              </a:solidFill>
              <a:effectLst/>
              <a:latin typeface="+mn-lt"/>
              <a:ea typeface="+mn-ea"/>
              <a:cs typeface="+mn-cs"/>
            </a:rPr>
            <a:t>elių</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transporto</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priemonių</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skaičiaus</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reguliavimo</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poveikio</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vertinimo</a:t>
          </a:r>
          <a:r>
            <a:rPr lang="en-US" sz="140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skaičiuoklė. </a:t>
          </a:r>
          <a:r>
            <a:rPr lang="en-US" sz="1400" b="0" baseline="0">
              <a:solidFill>
                <a:schemeClr val="accent3">
                  <a:lumMod val="25000"/>
                </a:schemeClr>
              </a:solidFill>
              <a:effectLst/>
              <a:latin typeface="+mn-lt"/>
              <a:ea typeface="+mn-ea"/>
              <a:cs typeface="+mn-cs"/>
            </a:rPr>
            <a:t>Vilnius</a:t>
          </a:r>
          <a:endParaRPr lang="lt-LT" sz="1400">
            <a:solidFill>
              <a:schemeClr val="accent3">
                <a:lumMod val="25000"/>
              </a:schemeClr>
            </a:solidFill>
            <a:effectLst/>
          </a:endParaRPr>
        </a:p>
        <a:p>
          <a:pPr marL="0" marR="0" lvl="0" indent="0" defTabSz="914400" eaLnBrk="1" fontAlgn="auto" latinLnBrk="0" hangingPunct="1">
            <a:lnSpc>
              <a:spcPct val="150000"/>
            </a:lnSpc>
            <a:spcBef>
              <a:spcPts val="0"/>
            </a:spcBef>
            <a:spcAft>
              <a:spcPts val="0"/>
            </a:spcAft>
            <a:buClrTx/>
            <a:buSzTx/>
            <a:buFontTx/>
            <a:buNone/>
            <a:tabLst/>
            <a:defRPr/>
          </a:pPr>
          <a:r>
            <a:rPr lang="en-US" sz="1400" b="0" baseline="0">
              <a:solidFill>
                <a:schemeClr val="accent3">
                  <a:lumMod val="25000"/>
                </a:schemeClr>
              </a:solidFill>
              <a:effectLst/>
              <a:latin typeface="+mn-lt"/>
              <a:ea typeface="+mn-ea"/>
              <a:cs typeface="+mn-cs"/>
            </a:rPr>
            <a:t>©</a:t>
          </a:r>
          <a:r>
            <a:rPr lang="lt-LT" sz="1400" b="0" baseline="0">
              <a:solidFill>
                <a:schemeClr val="accent3">
                  <a:lumMod val="25000"/>
                </a:schemeClr>
              </a:solidFill>
              <a:effectLst/>
              <a:latin typeface="+mn-lt"/>
              <a:ea typeface="+mn-ea"/>
              <a:cs typeface="+mn-cs"/>
            </a:rPr>
            <a:t> Aplinkos apsaugos agentūra</a:t>
          </a:r>
          <a:endParaRPr lang="lt-LT" sz="1400">
            <a:solidFill>
              <a:schemeClr val="accent3">
                <a:lumMod val="25000"/>
              </a:schemeClr>
            </a:solidFill>
            <a:effectLst/>
          </a:endParaRPr>
        </a:p>
        <a:p>
          <a:endParaRPr lang="lt-LT" sz="1200">
            <a:solidFill>
              <a:schemeClr val="accent3">
                <a:lumMod val="25000"/>
              </a:schemeClr>
            </a:solidFill>
          </a:endParaRPr>
        </a:p>
      </xdr:txBody>
    </xdr:sp>
    <xdr:clientData/>
  </xdr:twoCellAnchor>
  <xdr:twoCellAnchor>
    <xdr:from>
      <xdr:col>4</xdr:col>
      <xdr:colOff>168442</xdr:colOff>
      <xdr:row>41</xdr:row>
      <xdr:rowOff>155537</xdr:rowOff>
    </xdr:from>
    <xdr:to>
      <xdr:col>15</xdr:col>
      <xdr:colOff>1192196</xdr:colOff>
      <xdr:row>44</xdr:row>
      <xdr:rowOff>56164</xdr:rowOff>
    </xdr:to>
    <xdr:sp macro="" textlink="">
      <xdr:nvSpPr>
        <xdr:cNvPr id="58" name="TextBox 6">
          <a:extLst>
            <a:ext uri="{FF2B5EF4-FFF2-40B4-BE49-F238E27FC236}">
              <a16:creationId xmlns:a16="http://schemas.microsoft.com/office/drawing/2014/main" id="{7A9F375B-CEAC-47E3-A605-DBF3838E9CAB}"/>
            </a:ext>
          </a:extLst>
        </xdr:cNvPr>
        <xdr:cNvSpPr txBox="1"/>
      </xdr:nvSpPr>
      <xdr:spPr>
        <a:xfrm>
          <a:off x="2754624" y="8156537"/>
          <a:ext cx="7720117" cy="454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lt-LT" sz="1600" b="1">
              <a:solidFill>
                <a:schemeClr val="accent3">
                  <a:lumMod val="25000"/>
                </a:schemeClr>
              </a:solidFill>
              <a:effectLst/>
            </a:rPr>
            <a:t>SKAIČIUOKLĖS AUTORINIŲ TEISIŲ APSAUGA</a:t>
          </a:r>
        </a:p>
      </xdr:txBody>
    </xdr:sp>
    <xdr:clientData/>
  </xdr:twoCellAnchor>
  <xdr:twoCellAnchor>
    <xdr:from>
      <xdr:col>4</xdr:col>
      <xdr:colOff>203281</xdr:colOff>
      <xdr:row>33</xdr:row>
      <xdr:rowOff>84117</xdr:rowOff>
    </xdr:from>
    <xdr:to>
      <xdr:col>16</xdr:col>
      <xdr:colOff>309995</xdr:colOff>
      <xdr:row>40</xdr:row>
      <xdr:rowOff>164813</xdr:rowOff>
    </xdr:to>
    <xdr:sp macro="" textlink="">
      <xdr:nvSpPr>
        <xdr:cNvPr id="51" name="TextBox 16">
          <a:extLst>
            <a:ext uri="{FF2B5EF4-FFF2-40B4-BE49-F238E27FC236}">
              <a16:creationId xmlns:a16="http://schemas.microsoft.com/office/drawing/2014/main" id="{84086A9D-AF7B-44AC-A76D-7AE78233C26A}"/>
            </a:ext>
          </a:extLst>
        </xdr:cNvPr>
        <xdr:cNvSpPr txBox="1"/>
      </xdr:nvSpPr>
      <xdr:spPr>
        <a:xfrm>
          <a:off x="2779567" y="6506688"/>
          <a:ext cx="8198428" cy="140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spcAft>
              <a:spcPts val="800"/>
            </a:spcAft>
          </a:pPr>
          <a:r>
            <a:rPr lang="lt-LT" sz="1600" b="1">
              <a:solidFill>
                <a:schemeClr val="accent3">
                  <a:lumMod val="25000"/>
                </a:schemeClr>
              </a:solidFill>
              <a:effectLst/>
              <a:latin typeface="+mn-lt"/>
              <a:ea typeface="+mn-ea"/>
              <a:cs typeface="+mn-cs"/>
            </a:rPr>
            <a:t>PAGALBA IR ATSILIEPIMAI</a:t>
          </a:r>
          <a:endParaRPr lang="lt-LT" sz="1600">
            <a:solidFill>
              <a:schemeClr val="accent3">
                <a:lumMod val="25000"/>
              </a:schemeClr>
            </a:solidFill>
            <a:effectLst/>
            <a:latin typeface="+mn-lt"/>
            <a:ea typeface="+mn-ea"/>
            <a:cs typeface="+mn-cs"/>
          </a:endParaRPr>
        </a:p>
        <a:p>
          <a:pPr>
            <a:lnSpc>
              <a:spcPct val="150000"/>
            </a:lnSpc>
          </a:pPr>
          <a:r>
            <a:rPr lang="lt-LT" sz="1400">
              <a:solidFill>
                <a:schemeClr val="accent3">
                  <a:lumMod val="25000"/>
                </a:schemeClr>
              </a:solidFill>
              <a:effectLst/>
              <a:latin typeface="+mn-lt"/>
              <a:ea typeface="+mn-ea"/>
              <a:cs typeface="+mn-cs"/>
            </a:rPr>
            <a:t>Iškilus klausimams dėl skaičiuoklės naudojimo</a:t>
          </a:r>
          <a:r>
            <a:rPr lang="lt-LT" sz="1400" baseline="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kviečiame kreiptis meniu juostoje nurodytais kontaktais.</a:t>
          </a:r>
        </a:p>
        <a:p>
          <a:endParaRPr lang="lt-LT" sz="1400">
            <a:solidFill>
              <a:schemeClr val="accent3">
                <a:lumMod val="25000"/>
              </a:schemeClr>
            </a:solidFill>
          </a:endParaRPr>
        </a:p>
      </xdr:txBody>
    </xdr:sp>
    <xdr:clientData/>
  </xdr:twoCellAnchor>
  <xdr:twoCellAnchor>
    <xdr:from>
      <xdr:col>0</xdr:col>
      <xdr:colOff>141942</xdr:colOff>
      <xdr:row>5</xdr:row>
      <xdr:rowOff>7470</xdr:rowOff>
    </xdr:from>
    <xdr:to>
      <xdr:col>2</xdr:col>
      <xdr:colOff>201707</xdr:colOff>
      <xdr:row>6</xdr:row>
      <xdr:rowOff>44824</xdr:rowOff>
    </xdr:to>
    <xdr:sp macro="" textlink="">
      <xdr:nvSpPr>
        <xdr:cNvPr id="10" name="TextBox 9">
          <a:extLst>
            <a:ext uri="{FF2B5EF4-FFF2-40B4-BE49-F238E27FC236}">
              <a16:creationId xmlns:a16="http://schemas.microsoft.com/office/drawing/2014/main" id="{5622DB2D-4008-46D3-96BA-47890E862DAD}"/>
            </a:ext>
          </a:extLst>
        </xdr:cNvPr>
        <xdr:cNvSpPr txBox="1"/>
      </xdr:nvSpPr>
      <xdr:spPr>
        <a:xfrm>
          <a:off x="141942" y="1005327"/>
          <a:ext cx="1347908" cy="218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p>
      </xdr:txBody>
    </xdr:sp>
    <xdr:clientData/>
  </xdr:twoCellAnchor>
  <xdr:twoCellAnchor>
    <xdr:from>
      <xdr:col>1</xdr:col>
      <xdr:colOff>332817</xdr:colOff>
      <xdr:row>33</xdr:row>
      <xdr:rowOff>101454</xdr:rowOff>
    </xdr:from>
    <xdr:to>
      <xdr:col>2</xdr:col>
      <xdr:colOff>92117</xdr:colOff>
      <xdr:row>35</xdr:row>
      <xdr:rowOff>95917</xdr:rowOff>
    </xdr:to>
    <xdr:pic>
      <xdr:nvPicPr>
        <xdr:cNvPr id="29" name="Grafinis elementas 12" descr="Receiver outline">
          <a:extLst>
            <a:ext uri="{FF2B5EF4-FFF2-40B4-BE49-F238E27FC236}">
              <a16:creationId xmlns:a16="http://schemas.microsoft.com/office/drawing/2014/main" id="{FDA612C8-5A48-4BF3-BDF6-C3DC78B1D4F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76888" y="6524025"/>
          <a:ext cx="403372" cy="357321"/>
        </a:xfrm>
        <a:prstGeom prst="rect">
          <a:avLst/>
        </a:prstGeom>
      </xdr:spPr>
    </xdr:pic>
    <xdr:clientData/>
  </xdr:twoCellAnchor>
  <xdr:twoCellAnchor>
    <xdr:from>
      <xdr:col>0</xdr:col>
      <xdr:colOff>561199</xdr:colOff>
      <xdr:row>36</xdr:row>
      <xdr:rowOff>28986</xdr:rowOff>
    </xdr:from>
    <xdr:to>
      <xdr:col>3</xdr:col>
      <xdr:colOff>92810</xdr:colOff>
      <xdr:row>37</xdr:row>
      <xdr:rowOff>93840</xdr:rowOff>
    </xdr:to>
    <xdr:sp macro="" textlink="">
      <xdr:nvSpPr>
        <xdr:cNvPr id="33" name="TextBox 32">
          <a:extLst>
            <a:ext uri="{FF2B5EF4-FFF2-40B4-BE49-F238E27FC236}">
              <a16:creationId xmlns:a16="http://schemas.microsoft.com/office/drawing/2014/main" id="{9F6118D7-E1E7-40F0-B513-AC199F9F0EE1}"/>
            </a:ext>
          </a:extLst>
        </xdr:cNvPr>
        <xdr:cNvSpPr txBox="1"/>
      </xdr:nvSpPr>
      <xdr:spPr>
        <a:xfrm>
          <a:off x="561199" y="6995843"/>
          <a:ext cx="1463825" cy="246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17</xdr:col>
      <xdr:colOff>62673</xdr:colOff>
      <xdr:row>8</xdr:row>
      <xdr:rowOff>180191</xdr:rowOff>
    </xdr:from>
    <xdr:to>
      <xdr:col>29</xdr:col>
      <xdr:colOff>457281</xdr:colOff>
      <xdr:row>10</xdr:row>
      <xdr:rowOff>117935</xdr:rowOff>
    </xdr:to>
    <xdr:sp macro="" textlink="">
      <xdr:nvSpPr>
        <xdr:cNvPr id="46" name="TextBox 45">
          <a:extLst>
            <a:ext uri="{FF2B5EF4-FFF2-40B4-BE49-F238E27FC236}">
              <a16:creationId xmlns:a16="http://schemas.microsoft.com/office/drawing/2014/main" id="{F12FA273-5292-433E-B931-0E13CCF0611A}"/>
            </a:ext>
          </a:extLst>
        </xdr:cNvPr>
        <xdr:cNvSpPr txBox="1"/>
      </xdr:nvSpPr>
      <xdr:spPr>
        <a:xfrm>
          <a:off x="11423400" y="1750373"/>
          <a:ext cx="8153154" cy="353380"/>
        </a:xfrm>
        <a:prstGeom prst="rect">
          <a:avLst/>
        </a:prstGeom>
        <a:solidFill>
          <a:schemeClr val="accent5">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600" b="1">
              <a:ln>
                <a:noFill/>
              </a:ln>
              <a:solidFill>
                <a:schemeClr val="accent3">
                  <a:lumMod val="25000"/>
                </a:schemeClr>
              </a:solidFill>
              <a:effectLst/>
            </a:rPr>
            <a:t>NAUDOJAM</a:t>
          </a:r>
          <a:r>
            <a:rPr lang="lt-LT" sz="1600" b="1">
              <a:ln>
                <a:noFill/>
              </a:ln>
              <a:solidFill>
                <a:schemeClr val="accent3">
                  <a:lumMod val="25000"/>
                </a:schemeClr>
              </a:solidFill>
              <a:effectLst/>
            </a:rPr>
            <a:t>I</a:t>
          </a:r>
          <a:r>
            <a:rPr lang="lt-LT" sz="1600" b="1" baseline="0">
              <a:ln>
                <a:noFill/>
              </a:ln>
              <a:solidFill>
                <a:schemeClr val="accent3">
                  <a:lumMod val="25000"/>
                </a:schemeClr>
              </a:solidFill>
              <a:effectLst/>
            </a:rPr>
            <a:t> TERMINAI</a:t>
          </a:r>
          <a:endParaRPr lang="lt-LT" sz="1600" b="1">
            <a:ln>
              <a:noFill/>
            </a:ln>
            <a:solidFill>
              <a:schemeClr val="accent3">
                <a:lumMod val="25000"/>
              </a:schemeClr>
            </a:solidFill>
            <a:effectLst/>
          </a:endParaRPr>
        </a:p>
      </xdr:txBody>
    </xdr:sp>
    <xdr:clientData/>
  </xdr:twoCellAnchor>
  <xdr:twoCellAnchor>
    <xdr:from>
      <xdr:col>0</xdr:col>
      <xdr:colOff>369455</xdr:colOff>
      <xdr:row>41</xdr:row>
      <xdr:rowOff>80818</xdr:rowOff>
    </xdr:from>
    <xdr:to>
      <xdr:col>3</xdr:col>
      <xdr:colOff>147274</xdr:colOff>
      <xdr:row>50</xdr:row>
      <xdr:rowOff>40407</xdr:rowOff>
    </xdr:to>
    <xdr:grpSp>
      <xdr:nvGrpSpPr>
        <xdr:cNvPr id="3" name="Grupė 2">
          <a:extLst>
            <a:ext uri="{FF2B5EF4-FFF2-40B4-BE49-F238E27FC236}">
              <a16:creationId xmlns:a16="http://schemas.microsoft.com/office/drawing/2014/main" id="{FDA45CC9-8F2A-4F51-8AC7-6FB39ABB9D02}"/>
            </a:ext>
          </a:extLst>
        </xdr:cNvPr>
        <xdr:cNvGrpSpPr/>
      </xdr:nvGrpSpPr>
      <xdr:grpSpPr>
        <a:xfrm>
          <a:off x="369455" y="8340354"/>
          <a:ext cx="1614783" cy="1674089"/>
          <a:chOff x="396875" y="8016875"/>
          <a:chExt cx="1717455" cy="1622134"/>
        </a:xfrm>
      </xdr:grpSpPr>
      <xdr:sp macro="" textlink="">
        <xdr:nvSpPr>
          <xdr:cNvPr id="4" name="TextBox 3">
            <a:hlinkClick xmlns:r="http://schemas.openxmlformats.org/officeDocument/2006/relationships" r:id="rId5"/>
            <a:extLst>
              <a:ext uri="{FF2B5EF4-FFF2-40B4-BE49-F238E27FC236}">
                <a16:creationId xmlns:a16="http://schemas.microsoft.com/office/drawing/2014/main" id="{BDB0280D-298C-D4F6-037F-C7E3648BCFED}"/>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6" name="Paveikslėlis 5">
            <a:extLst>
              <a:ext uri="{FF2B5EF4-FFF2-40B4-BE49-F238E27FC236}">
                <a16:creationId xmlns:a16="http://schemas.microsoft.com/office/drawing/2014/main" id="{7E179ECE-F5E5-8562-157A-E5B564D462CA}"/>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twoCellAnchor>
    <xdr:from>
      <xdr:col>0</xdr:col>
      <xdr:colOff>367393</xdr:colOff>
      <xdr:row>2</xdr:row>
      <xdr:rowOff>13607</xdr:rowOff>
    </xdr:from>
    <xdr:to>
      <xdr:col>2</xdr:col>
      <xdr:colOff>537054</xdr:colOff>
      <xdr:row>4</xdr:row>
      <xdr:rowOff>176869</xdr:rowOff>
    </xdr:to>
    <xdr:pic>
      <xdr:nvPicPr>
        <xdr:cNvPr id="7" name="Paveikslėlis 2">
          <a:extLst>
            <a:ext uri="{FF2B5EF4-FFF2-40B4-BE49-F238E27FC236}">
              <a16:creationId xmlns:a16="http://schemas.microsoft.com/office/drawing/2014/main" id="{2C07F8BC-FBD9-4857-8928-86BFAF94D3AA}"/>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67393" y="394607"/>
          <a:ext cx="1394304" cy="598691"/>
        </a:xfrm>
        <a:prstGeom prst="rect">
          <a:avLst/>
        </a:prstGeom>
      </xdr:spPr>
    </xdr:pic>
    <xdr:clientData/>
  </xdr:twoCellAnchor>
  <xdr:twoCellAnchor editAs="oneCell">
    <xdr:from>
      <xdr:col>0</xdr:col>
      <xdr:colOff>353786</xdr:colOff>
      <xdr:row>7</xdr:row>
      <xdr:rowOff>149678</xdr:rowOff>
    </xdr:from>
    <xdr:to>
      <xdr:col>3</xdr:col>
      <xdr:colOff>999</xdr:colOff>
      <xdr:row>11</xdr:row>
      <xdr:rowOff>52640</xdr:rowOff>
    </xdr:to>
    <xdr:pic>
      <xdr:nvPicPr>
        <xdr:cNvPr id="8" name="Picture 7">
          <a:extLst>
            <a:ext uri="{FF2B5EF4-FFF2-40B4-BE49-F238E27FC236}">
              <a16:creationId xmlns:a16="http://schemas.microsoft.com/office/drawing/2014/main" id="{3B2E3EBA-B92F-4DF2-BB4A-DE111CDD204D}"/>
            </a:ext>
          </a:extLst>
        </xdr:cNvPr>
        <xdr:cNvPicPr>
          <a:picLocks noChangeAspect="1"/>
        </xdr:cNvPicPr>
      </xdr:nvPicPr>
      <xdr:blipFill>
        <a:blip xmlns:r="http://schemas.openxmlformats.org/officeDocument/2006/relationships" r:embed="rId8"/>
        <a:stretch>
          <a:fillRect/>
        </a:stretch>
      </xdr:blipFill>
      <xdr:spPr>
        <a:xfrm>
          <a:off x="353786" y="1537607"/>
          <a:ext cx="1481456" cy="719390"/>
        </a:xfrm>
        <a:prstGeom prst="rect">
          <a:avLst/>
        </a:prstGeom>
      </xdr:spPr>
    </xdr:pic>
    <xdr:clientData/>
  </xdr:twoCellAnchor>
  <xdr:twoCellAnchor editAs="oneCell">
    <xdr:from>
      <xdr:col>0</xdr:col>
      <xdr:colOff>353787</xdr:colOff>
      <xdr:row>12</xdr:row>
      <xdr:rowOff>95250</xdr:rowOff>
    </xdr:from>
    <xdr:to>
      <xdr:col>3</xdr:col>
      <xdr:colOff>1361</xdr:colOff>
      <xdr:row>15</xdr:row>
      <xdr:rowOff>189321</xdr:rowOff>
    </xdr:to>
    <xdr:pic>
      <xdr:nvPicPr>
        <xdr:cNvPr id="9" name="Picture 29">
          <a:hlinkClick xmlns:r="http://schemas.openxmlformats.org/officeDocument/2006/relationships" r:id="rId9"/>
          <a:extLst>
            <a:ext uri="{FF2B5EF4-FFF2-40B4-BE49-F238E27FC236}">
              <a16:creationId xmlns:a16="http://schemas.microsoft.com/office/drawing/2014/main" id="{46E2ACDE-0DEF-4E31-906B-6CFAD9F8B1B7}"/>
            </a:ext>
          </a:extLst>
        </xdr:cNvPr>
        <xdr:cNvPicPr>
          <a:picLocks noChangeAspect="1"/>
        </xdr:cNvPicPr>
      </xdr:nvPicPr>
      <xdr:blipFill>
        <a:blip xmlns:r="http://schemas.openxmlformats.org/officeDocument/2006/relationships" r:embed="rId10">
          <a:duotone>
            <a:schemeClr val="accent4">
              <a:shade val="45000"/>
              <a:satMod val="135000"/>
            </a:schemeClr>
            <a:prstClr val="white"/>
          </a:duotone>
          <a:extLst>
            <a:ext uri="{BEBA8EAE-BF5A-486C-A8C5-ECC9F3942E4B}">
              <a14:imgProps xmlns:a14="http://schemas.microsoft.com/office/drawing/2010/main">
                <a14:imgLayer r:embed="rId11">
                  <a14:imgEffect>
                    <a14:colorTemperature colorTemp="4700"/>
                  </a14:imgEffect>
                  <a14:imgEffect>
                    <a14:saturation sat="0"/>
                  </a14:imgEffect>
                </a14:imgLayer>
              </a14:imgProps>
            </a:ext>
          </a:extLst>
        </a:blip>
        <a:stretch>
          <a:fillRect/>
        </a:stretch>
      </xdr:blipFill>
      <xdr:spPr>
        <a:xfrm>
          <a:off x="353787" y="2490107"/>
          <a:ext cx="1481817" cy="720000"/>
        </a:xfrm>
        <a:prstGeom prst="rect">
          <a:avLst/>
        </a:prstGeom>
      </xdr:spPr>
    </xdr:pic>
    <xdr:clientData/>
  </xdr:twoCellAnchor>
  <xdr:twoCellAnchor>
    <xdr:from>
      <xdr:col>0</xdr:col>
      <xdr:colOff>353786</xdr:colOff>
      <xdr:row>16</xdr:row>
      <xdr:rowOff>176893</xdr:rowOff>
    </xdr:from>
    <xdr:to>
      <xdr:col>2</xdr:col>
      <xdr:colOff>610961</xdr:colOff>
      <xdr:row>20</xdr:row>
      <xdr:rowOff>121286</xdr:rowOff>
    </xdr:to>
    <xdr:pic>
      <xdr:nvPicPr>
        <xdr:cNvPr id="11" name="Picture 31">
          <a:hlinkClick xmlns:r="http://schemas.openxmlformats.org/officeDocument/2006/relationships" r:id="rId12"/>
          <a:extLst>
            <a:ext uri="{FF2B5EF4-FFF2-40B4-BE49-F238E27FC236}">
              <a16:creationId xmlns:a16="http://schemas.microsoft.com/office/drawing/2014/main" id="{F28422DF-200F-428B-9BFD-F6744E95F935}"/>
            </a:ext>
          </a:extLst>
        </xdr:cNvPr>
        <xdr:cNvPicPr>
          <a:picLocks noChangeAspect="1"/>
        </xdr:cNvPicPr>
      </xdr:nvPicPr>
      <xdr:blipFill>
        <a:blip xmlns:r="http://schemas.openxmlformats.org/officeDocument/2006/relationships" r:embed="rId13">
          <a:duotone>
            <a:schemeClr val="accent4">
              <a:shade val="45000"/>
              <a:satMod val="135000"/>
            </a:schemeClr>
            <a:prstClr val="white"/>
          </a:duotone>
        </a:blip>
        <a:stretch>
          <a:fillRect/>
        </a:stretch>
      </xdr:blipFill>
      <xdr:spPr>
        <a:xfrm>
          <a:off x="353786" y="3442607"/>
          <a:ext cx="1481818" cy="720000"/>
        </a:xfrm>
        <a:prstGeom prst="rect">
          <a:avLst/>
        </a:prstGeom>
      </xdr:spPr>
    </xdr:pic>
    <xdr:clientData/>
  </xdr:twoCellAnchor>
  <xdr:twoCellAnchor editAs="oneCell">
    <xdr:from>
      <xdr:col>0</xdr:col>
      <xdr:colOff>353787</xdr:colOff>
      <xdr:row>21</xdr:row>
      <xdr:rowOff>108857</xdr:rowOff>
    </xdr:from>
    <xdr:to>
      <xdr:col>3</xdr:col>
      <xdr:colOff>8166</xdr:colOff>
      <xdr:row>25</xdr:row>
      <xdr:rowOff>12428</xdr:rowOff>
    </xdr:to>
    <xdr:pic>
      <xdr:nvPicPr>
        <xdr:cNvPr id="12" name="Picture 11">
          <a:hlinkClick xmlns:r="http://schemas.openxmlformats.org/officeDocument/2006/relationships" r:id="rId14"/>
          <a:extLst>
            <a:ext uri="{FF2B5EF4-FFF2-40B4-BE49-F238E27FC236}">
              <a16:creationId xmlns:a16="http://schemas.microsoft.com/office/drawing/2014/main" id="{E7EDD376-228C-479A-9F48-C320C6FD793D}"/>
            </a:ext>
          </a:extLst>
        </xdr:cNvPr>
        <xdr:cNvPicPr>
          <a:picLocks noChangeAspect="1"/>
        </xdr:cNvPicPr>
      </xdr:nvPicPr>
      <xdr:blipFill>
        <a:blip xmlns:r="http://schemas.openxmlformats.org/officeDocument/2006/relationships" r:embed="rId15"/>
        <a:stretch>
          <a:fillRect/>
        </a:stretch>
      </xdr:blipFill>
      <xdr:spPr>
        <a:xfrm>
          <a:off x="353787" y="4395107"/>
          <a:ext cx="1491343" cy="7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176893</xdr:colOff>
      <xdr:row>0</xdr:row>
      <xdr:rowOff>149677</xdr:rowOff>
    </xdr:from>
    <xdr:to>
      <xdr:col>3</xdr:col>
      <xdr:colOff>147129</xdr:colOff>
      <xdr:row>86</xdr:row>
      <xdr:rowOff>138546</xdr:rowOff>
    </xdr:to>
    <xdr:sp macro="" textlink="">
      <xdr:nvSpPr>
        <xdr:cNvPr id="5" name="Stačiakampis: suapvalinti kampai 4">
          <a:extLst>
            <a:ext uri="{FF2B5EF4-FFF2-40B4-BE49-F238E27FC236}">
              <a16:creationId xmlns:a16="http://schemas.microsoft.com/office/drawing/2014/main" id="{0729AA5B-16EC-45C7-8280-328DB497893D}"/>
            </a:ext>
          </a:extLst>
        </xdr:cNvPr>
        <xdr:cNvSpPr/>
      </xdr:nvSpPr>
      <xdr:spPr>
        <a:xfrm>
          <a:off x="176893" y="149677"/>
          <a:ext cx="1909872" cy="15875414"/>
        </a:xfrm>
        <a:prstGeom prst="roundRect">
          <a:avLst>
            <a:gd name="adj" fmla="val 4546"/>
          </a:avLst>
        </a:prstGeom>
        <a:solidFill>
          <a:schemeClr val="accent5">
            <a:lumMod val="40000"/>
            <a:lumOff val="60000"/>
          </a:schemeClr>
        </a:solidFill>
        <a:ln>
          <a:solidFill>
            <a:schemeClr val="bg1">
              <a:lumMod val="20000"/>
              <a:lumOff val="80000"/>
            </a:schemeClr>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xdr:col>
      <xdr:colOff>191877</xdr:colOff>
      <xdr:row>29</xdr:row>
      <xdr:rowOff>30089</xdr:rowOff>
    </xdr:from>
    <xdr:to>
      <xdr:col>2</xdr:col>
      <xdr:colOff>100098</xdr:colOff>
      <xdr:row>31</xdr:row>
      <xdr:rowOff>79065</xdr:rowOff>
    </xdr:to>
    <xdr:pic>
      <xdr:nvPicPr>
        <xdr:cNvPr id="6" name="Grafinis elementas 10" descr="Envelope outline">
          <a:extLst>
            <a:ext uri="{FF2B5EF4-FFF2-40B4-BE49-F238E27FC236}">
              <a16:creationId xmlns:a16="http://schemas.microsoft.com/office/drawing/2014/main" id="{ADA8DD4E-1E0D-468D-A006-20053A712B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04198" y="5554589"/>
          <a:ext cx="520543" cy="429976"/>
        </a:xfrm>
        <a:prstGeom prst="rect">
          <a:avLst/>
        </a:prstGeom>
      </xdr:spPr>
    </xdr:pic>
    <xdr:clientData/>
  </xdr:twoCellAnchor>
  <xdr:twoCellAnchor>
    <xdr:from>
      <xdr:col>0</xdr:col>
      <xdr:colOff>586398</xdr:colOff>
      <xdr:row>31</xdr:row>
      <xdr:rowOff>91105</xdr:rowOff>
    </xdr:from>
    <xdr:to>
      <xdr:col>3</xdr:col>
      <xdr:colOff>124258</xdr:colOff>
      <xdr:row>32</xdr:row>
      <xdr:rowOff>166489</xdr:rowOff>
    </xdr:to>
    <xdr:sp macro="" textlink="">
      <xdr:nvSpPr>
        <xdr:cNvPr id="7" name="TextBox 6">
          <a:extLst>
            <a:ext uri="{FF2B5EF4-FFF2-40B4-BE49-F238E27FC236}">
              <a16:creationId xmlns:a16="http://schemas.microsoft.com/office/drawing/2014/main" id="{E0C91E11-EAC5-494D-B752-270C2797E567}"/>
            </a:ext>
          </a:extLst>
        </xdr:cNvPr>
        <xdr:cNvSpPr txBox="1"/>
      </xdr:nvSpPr>
      <xdr:spPr>
        <a:xfrm>
          <a:off x="586398" y="5996605"/>
          <a:ext cx="1374824" cy="26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xdr:col>
      <xdr:colOff>270466</xdr:colOff>
      <xdr:row>35</xdr:row>
      <xdr:rowOff>48413</xdr:rowOff>
    </xdr:from>
    <xdr:to>
      <xdr:col>2</xdr:col>
      <xdr:colOff>29766</xdr:colOff>
      <xdr:row>37</xdr:row>
      <xdr:rowOff>42876</xdr:rowOff>
    </xdr:to>
    <xdr:pic>
      <xdr:nvPicPr>
        <xdr:cNvPr id="8" name="Grafinis elementas 12" descr="Receiver outline">
          <a:extLst>
            <a:ext uri="{FF2B5EF4-FFF2-40B4-BE49-F238E27FC236}">
              <a16:creationId xmlns:a16="http://schemas.microsoft.com/office/drawing/2014/main" id="{A675F470-736E-40BC-9944-FD7C5588D28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82787" y="6715913"/>
          <a:ext cx="371622" cy="375463"/>
        </a:xfrm>
        <a:prstGeom prst="rect">
          <a:avLst/>
        </a:prstGeom>
      </xdr:spPr>
    </xdr:pic>
    <xdr:clientData/>
  </xdr:twoCellAnchor>
  <xdr:twoCellAnchor>
    <xdr:from>
      <xdr:col>0</xdr:col>
      <xdr:colOff>498848</xdr:colOff>
      <xdr:row>37</xdr:row>
      <xdr:rowOff>166445</xdr:rowOff>
    </xdr:from>
    <xdr:to>
      <xdr:col>3</xdr:col>
      <xdr:colOff>30459</xdr:colOff>
      <xdr:row>39</xdr:row>
      <xdr:rowOff>40799</xdr:rowOff>
    </xdr:to>
    <xdr:sp macro="" textlink="">
      <xdr:nvSpPr>
        <xdr:cNvPr id="10" name="TextBox 9">
          <a:extLst>
            <a:ext uri="{FF2B5EF4-FFF2-40B4-BE49-F238E27FC236}">
              <a16:creationId xmlns:a16="http://schemas.microsoft.com/office/drawing/2014/main" id="{FCDAC2BB-1565-4E25-A0FE-2D721206EA5B}"/>
            </a:ext>
          </a:extLst>
        </xdr:cNvPr>
        <xdr:cNvSpPr txBox="1"/>
      </xdr:nvSpPr>
      <xdr:spPr>
        <a:xfrm>
          <a:off x="498848" y="7214945"/>
          <a:ext cx="1368575" cy="255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4</xdr:col>
      <xdr:colOff>0</xdr:colOff>
      <xdr:row>2</xdr:row>
      <xdr:rowOff>18143</xdr:rowOff>
    </xdr:from>
    <xdr:to>
      <xdr:col>15</xdr:col>
      <xdr:colOff>254207</xdr:colOff>
      <xdr:row>4</xdr:row>
      <xdr:rowOff>78943</xdr:rowOff>
    </xdr:to>
    <xdr:sp macro="" textlink="">
      <xdr:nvSpPr>
        <xdr:cNvPr id="12" name="TextBox 16">
          <a:extLst>
            <a:ext uri="{FF2B5EF4-FFF2-40B4-BE49-F238E27FC236}">
              <a16:creationId xmlns:a16="http://schemas.microsoft.com/office/drawing/2014/main" id="{5D85E51E-48BE-45CA-BF92-96F3B42AB055}"/>
            </a:ext>
          </a:extLst>
        </xdr:cNvPr>
        <xdr:cNvSpPr txBox="1"/>
      </xdr:nvSpPr>
      <xdr:spPr>
        <a:xfrm>
          <a:off x="2576286" y="381000"/>
          <a:ext cx="7338992" cy="423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baseline="0">
              <a:ln>
                <a:noFill/>
              </a:ln>
              <a:solidFill>
                <a:schemeClr val="bg2">
                  <a:lumMod val="25000"/>
                </a:schemeClr>
              </a:solidFill>
              <a:effectLst/>
            </a:rPr>
            <a:t>SKAI</a:t>
          </a:r>
          <a:r>
            <a:rPr lang="lt-LT" sz="1600" b="1" baseline="0">
              <a:ln>
                <a:noFill/>
              </a:ln>
              <a:solidFill>
                <a:schemeClr val="bg2">
                  <a:lumMod val="25000"/>
                </a:schemeClr>
              </a:solidFill>
              <a:effectLst/>
            </a:rPr>
            <a:t>ČIUOKLĖS NAUDOJIMO INSTRUKCIJA</a:t>
          </a:r>
          <a:endParaRPr lang="lt-LT" sz="1600" b="1">
            <a:ln>
              <a:noFill/>
            </a:ln>
            <a:solidFill>
              <a:schemeClr val="bg2">
                <a:lumMod val="25000"/>
              </a:schemeClr>
            </a:solidFill>
            <a:effectLst/>
          </a:endParaRPr>
        </a:p>
      </xdr:txBody>
    </xdr:sp>
    <xdr:clientData/>
  </xdr:twoCellAnchor>
  <xdr:twoCellAnchor>
    <xdr:from>
      <xdr:col>3</xdr:col>
      <xdr:colOff>635002</xdr:colOff>
      <xdr:row>8</xdr:row>
      <xdr:rowOff>46181</xdr:rowOff>
    </xdr:from>
    <xdr:to>
      <xdr:col>21</xdr:col>
      <xdr:colOff>1</xdr:colOff>
      <xdr:row>87</xdr:row>
      <xdr:rowOff>23049</xdr:rowOff>
    </xdr:to>
    <xdr:sp macro="" textlink="">
      <xdr:nvSpPr>
        <xdr:cNvPr id="16" name="TextBox 28">
          <a:extLst>
            <a:ext uri="{FF2B5EF4-FFF2-40B4-BE49-F238E27FC236}">
              <a16:creationId xmlns:a16="http://schemas.microsoft.com/office/drawing/2014/main" id="{DB2B7C37-0E37-433E-B17C-931BA9D95C4C}"/>
            </a:ext>
          </a:extLst>
        </xdr:cNvPr>
        <xdr:cNvSpPr txBox="1"/>
      </xdr:nvSpPr>
      <xdr:spPr>
        <a:xfrm>
          <a:off x="2574638" y="1523999"/>
          <a:ext cx="11002818" cy="14570323"/>
        </a:xfrm>
        <a:prstGeom prst="rect">
          <a:avLst/>
        </a:prstGeom>
        <a:solidFill>
          <a:schemeClr val="accent3"/>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600" b="1" i="0" baseline="0">
              <a:solidFill>
                <a:schemeClr val="accent3">
                  <a:lumMod val="25000"/>
                </a:schemeClr>
              </a:solidFill>
              <a:effectLst/>
              <a:latin typeface="+mn-lt"/>
              <a:ea typeface="+mn-ea"/>
              <a:cs typeface="+mn-cs"/>
            </a:rPr>
            <a:t>1. </a:t>
          </a:r>
          <a:r>
            <a:rPr lang="lt-LT" sz="1600" b="1" i="0" baseline="0">
              <a:solidFill>
                <a:schemeClr val="accent3">
                  <a:lumMod val="25000"/>
                </a:schemeClr>
              </a:solidFill>
              <a:effectLst/>
              <a:latin typeface="+mn-lt"/>
              <a:ea typeface="+mn-ea"/>
              <a:cs typeface="+mn-cs"/>
            </a:rPr>
            <a:t>Pradiniai veiksmai</a:t>
          </a:r>
        </a:p>
        <a:p>
          <a:pPr eaLnBrk="1" fontAlgn="auto" latinLnBrk="0" hangingPunct="1"/>
          <a:endParaRPr lang="lt-LT" sz="1400">
            <a:effectLst/>
          </a:endParaRPr>
        </a:p>
        <a:p>
          <a:pPr marL="171450" indent="-1714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Prieš pradėdami naudotis skaičiuokle, atidžiai perskaitykite "Pradžios" lapo informaciją ir </a:t>
          </a:r>
          <a:r>
            <a:rPr lang="lt-LT" sz="1400" b="0" i="0" u="none" baseline="0">
              <a:solidFill>
                <a:schemeClr val="accent3">
                  <a:lumMod val="25000"/>
                </a:schemeClr>
              </a:solidFill>
              <a:effectLst/>
              <a:latin typeface="+mn-lt"/>
              <a:ea typeface="+mn-ea"/>
              <a:cs typeface="+mn-cs"/>
            </a:rPr>
            <a:t>metodologinį dokumentą </a:t>
          </a:r>
          <a:r>
            <a:rPr lang="lt-LT" sz="1400" b="0" i="0" baseline="0">
              <a:solidFill>
                <a:schemeClr val="accent3">
                  <a:lumMod val="25000"/>
                </a:schemeClr>
              </a:solidFill>
              <a:effectLst/>
              <a:latin typeface="+mn-lt"/>
              <a:ea typeface="+mn-ea"/>
              <a:cs typeface="+mn-cs"/>
            </a:rPr>
            <a:t>(žr. https://aaa.lrv.lt/lt/veiklos-sritys/teisekuros-poveikio-vertinimas/), kad geriau suprastumėte naudojamas sąvokas ir aplinkos oro teršalų kiekių pokyčių skaičiavimo principus. </a:t>
          </a:r>
        </a:p>
        <a:p>
          <a:pPr marL="171450" indent="-1714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Lape „Skaičiuoklė“ susipažinkite su lentelės apačioje esančiais sutartiniais žymėjimais ir pastabomis, kad lengviau suprastumėte skaičiuoklės turinį.</a:t>
          </a:r>
          <a:endParaRPr lang="lt-LT" sz="1400">
            <a:solidFill>
              <a:schemeClr val="accent3">
                <a:lumMod val="25000"/>
              </a:schemeClr>
            </a:solidFill>
            <a:effectLst/>
          </a:endParaRPr>
        </a:p>
        <a:p>
          <a:pPr marL="171450" indent="-171450">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Atidžiai laikykitės toliau pateiktų instrukcijoje pateiktų nurodymų, kad užtikrintumėte teisingą duomenų įvedimą ir rezultatų gavimą.</a:t>
          </a:r>
        </a:p>
        <a:p>
          <a:pPr>
            <a:lnSpc>
              <a:spcPct val="150000"/>
            </a:lnSpc>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50000"/>
            </a:lnSpc>
            <a:spcBef>
              <a:spcPts val="0"/>
            </a:spcBef>
            <a:spcAft>
              <a:spcPts val="500"/>
            </a:spcAft>
            <a:buClrTx/>
            <a:buSzTx/>
            <a:buFontTx/>
            <a:buNone/>
            <a:tabLst/>
            <a:defRPr/>
          </a:pPr>
          <a:r>
            <a:rPr kumimoji="0" lang="lt-LT" sz="16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 Duomenų įvedimas </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Įveskite teisėkūros iniciatyvos parametrų -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laiko, </a:t>
          </a:r>
          <a:r>
            <a:rPr lang="lt-LT" sz="1400" b="1" i="0" baseline="0">
              <a:solidFill>
                <a:schemeClr val="accent3">
                  <a:lumMod val="25000"/>
                </a:schemeClr>
              </a:solidFill>
              <a:effectLst/>
              <a:latin typeface="+mn-lt"/>
              <a:ea typeface="+mn-ea"/>
              <a:cs typeface="+mn-cs"/>
            </a:rPr>
            <a:t>objekto</a:t>
          </a:r>
          <a:r>
            <a:rPr lang="en-US" sz="1400" b="1" i="0" baseline="0">
              <a:solidFill>
                <a:schemeClr val="accent3">
                  <a:lumMod val="25000"/>
                </a:schemeClr>
              </a:solidFill>
              <a:effectLst/>
              <a:latin typeface="+mn-lt"/>
              <a:ea typeface="+mn-ea"/>
              <a:cs typeface="+mn-cs"/>
            </a:rPr>
            <a:t> ir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reguliuojamo veiklos rodiklio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specifinius</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duomenis į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analiz</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ės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variantų</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laukelius. Šių duomenų įvedimas yra privalomas, norint nustatyti teisėkūros iniciatyvos poveikį NO</a:t>
          </a:r>
          <a:r>
            <a:rPr kumimoji="0" lang="lt-LT" sz="1400" b="0" i="0" u="none" strike="noStrike" kern="0" cap="none" spc="0" normalizeH="0" baseline="-25000" noProof="0">
              <a:ln>
                <a:noFill/>
              </a:ln>
              <a:solidFill>
                <a:srgbClr val="F4FAF6">
                  <a:lumMod val="25000"/>
                </a:srgbClr>
              </a:solidFill>
              <a:effectLst/>
              <a:uLnTx/>
              <a:uFillTx/>
              <a:latin typeface="+mn-lt"/>
              <a:ea typeface="+mn-ea"/>
              <a:cs typeface="+mn-cs"/>
            </a:rPr>
            <a:t>x</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NMLOJ, KD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2.5,  NH</a:t>
          </a:r>
          <a:r>
            <a:rPr kumimoji="0" lang="en-US" sz="1400" b="0" i="0" u="none" strike="noStrike" kern="0" cap="none" spc="0" normalizeH="0" baseline="-25000" noProof="0">
              <a:ln>
                <a:noFill/>
              </a:ln>
              <a:solidFill>
                <a:srgbClr val="F4FAF6">
                  <a:lumMod val="25000"/>
                </a:srgbClr>
              </a:solidFill>
              <a:effectLst/>
              <a:uLnTx/>
              <a:uFillTx/>
              <a:latin typeface="+mn-lt"/>
              <a:ea typeface="+mn-ea"/>
              <a:cs typeface="+mn-cs"/>
            </a:rPr>
            <a:t>3</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kiekių pokyčiams. Jei pateiktų analizės variantų nepakanka, atsisiųskite naują skaičiavimo įrankį arba susikurkite lapo "Skaičiuoklė" kopiją.</a:t>
          </a:r>
          <a:endPar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Bet kuriuo metu galite keisti arba papildyti duomenis, neatsižvelgiant į duomenų įvedimo seką.</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Skaičiuoklėje pateikti įvesties duomenys yra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pavyzdiniai</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 ir turi būti keičiami pagal pasirinktus </a:t>
          </a:r>
          <a:r>
            <a:rPr lang="lt-LT" sz="1400" b="0" i="0" baseline="0">
              <a:solidFill>
                <a:schemeClr val="accent3">
                  <a:lumMod val="25000"/>
                </a:schemeClr>
              </a:solidFill>
              <a:effectLst/>
              <a:latin typeface="+mn-lt"/>
              <a:ea typeface="+mn-ea"/>
              <a:cs typeface="+mn-cs"/>
            </a:rPr>
            <a:t>teisėkūros iniciatyvos tikslus</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a:t>
          </a: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2.1.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Laiko parametrų įvedimas</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Teisėkūros iniciatyvos taikymo laikotarpis: įveskite reikšmę. Galima įvestis nuo 1 metų. </a:t>
          </a:r>
          <a:endParaRPr kumimoji="0" lang="en-US"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2.2. </a:t>
          </a:r>
          <a:r>
            <a:rPr kumimoji="0" lang="lt-LT" sz="1400" b="1"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Objekto parametrų įvedimas</a:t>
          </a:r>
        </a:p>
        <a:p>
          <a:pPr marL="0" marR="0" lvl="0" indent="0" defTabSz="914400" eaLnBrk="1" fontAlgn="auto" latinLnBrk="0" hangingPunct="1">
            <a:lnSpc>
              <a:spcPct val="150000"/>
            </a:lnSpc>
            <a:spcBef>
              <a:spcPts val="0"/>
            </a:spcBef>
            <a:spcAft>
              <a:spcPts val="500"/>
            </a:spcAft>
            <a:buClrTx/>
            <a:buSzTx/>
            <a:buFontTx/>
            <a:buNone/>
            <a:tabLst/>
            <a:defRPr/>
          </a:pPr>
          <a:r>
            <a:rPr lang="lt-LT" sz="1400">
              <a:solidFill>
                <a:schemeClr val="accent3">
                  <a:lumMod val="25000"/>
                </a:schemeClr>
              </a:solidFill>
              <a:effectLst/>
              <a:latin typeface="+mn-lt"/>
              <a:ea typeface="+mn-ea"/>
              <a:cs typeface="+mn-cs"/>
            </a:rPr>
            <a:t>Pasirinkite</a:t>
          </a:r>
          <a:r>
            <a:rPr lang="lt-LT" sz="1400" baseline="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 transporto priemonių, kurių kiekį numatoma reguliuoti, </a:t>
          </a:r>
          <a:r>
            <a:rPr lang="en-US" sz="1400">
              <a:solidFill>
                <a:schemeClr val="accent3">
                  <a:lumMod val="25000"/>
                </a:schemeClr>
              </a:solidFill>
              <a:effectLst/>
              <a:latin typeface="+mn-lt"/>
              <a:ea typeface="+mn-ea"/>
              <a:cs typeface="+mn-cs"/>
            </a:rPr>
            <a:t>bendrus </a:t>
          </a:r>
          <a:r>
            <a:rPr lang="lt-LT" sz="1400">
              <a:solidFill>
                <a:schemeClr val="accent3">
                  <a:lumMod val="25000"/>
                </a:schemeClr>
              </a:solidFill>
              <a:effectLst/>
              <a:latin typeface="+mn-lt"/>
              <a:ea typeface="+mn-ea"/>
              <a:cs typeface="+mn-cs"/>
            </a:rPr>
            <a:t>parametrus.</a:t>
          </a:r>
          <a:endParaRPr kumimoji="0" lang="lt-LT" sz="1400" b="1" i="0" u="none" strike="noStrike" kern="100" cap="none" spc="0" normalizeH="0" baseline="0" noProof="0">
            <a:ln>
              <a:noFill/>
            </a:ln>
            <a:solidFill>
              <a:schemeClr val="accent3">
                <a:lumMod val="25000"/>
              </a:schemeClr>
            </a:solidFill>
            <a:effectLst/>
            <a:uLnTx/>
            <a:uFillTx/>
            <a:latin typeface="+mn-lt"/>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Bendra t</a:t>
          </a:r>
          <a:r>
            <a:rPr kumimoji="0" lang="en-US"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ransporto priemon</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ės klasė: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pasirinkite reikalingas parinktis iš pateikiamų išplečiamųjų sąrašų.</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Bendra degalų rūšis: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pasirinkite reikalingas parinktis iš pateikiamų išplečiamųjų sąrašų.</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Bendras emisijų standartas: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pasirinkite reikalingas parinktis iš pateikiamų išplečiamųjų sąrašų.</a:t>
          </a:r>
          <a:r>
            <a:rPr kumimoji="0" lang="en-US"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Jei emisijų standarto nežinote, jį galite nustatyti pagal transporto priemonės pagaminimo metus:  </a:t>
          </a:r>
          <a:r>
            <a:rPr lang="lt-LT" sz="1400" u="sng">
              <a:solidFill>
                <a:schemeClr val="accent3">
                  <a:lumMod val="25000"/>
                </a:schemeClr>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1.A.3.b.i-iv Road transport 2023 — European Environment Agency (europa.eu)</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2.3.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Reguliuojamo veiklos rodiklio parame</a:t>
          </a: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tr</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ų įvedimas</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Bazinis transporto pr</a:t>
          </a:r>
          <a:r>
            <a:rPr kumimoji="0" lang="en-US"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ie</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monių skaičius, vnt.: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įveskite reikšmę</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Įvesties palengvinimui lape "Skaičiuoklė" pateikta lentelė "Transporto priemonių skaičiaus (vnt.) registras". </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Projektinis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transporto pr</a:t>
          </a:r>
          <a:r>
            <a:rPr kumimoji="0" lang="en-US"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ie</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monių skaičius, vnt.: įveskite reikšmę</a:t>
          </a:r>
          <a:r>
            <a:rPr lang="lt-LT" sz="1400" b="0" i="0" baseline="0">
              <a:solidFill>
                <a:schemeClr val="accent3">
                  <a:lumMod val="25000"/>
                </a:schemeClr>
              </a:solidFill>
              <a:effectLst/>
              <a:latin typeface="+mn-lt"/>
              <a:ea typeface="+mn-ea"/>
              <a:cs typeface="+mn-cs"/>
            </a:rPr>
            <a:t>. </a:t>
          </a:r>
        </a:p>
        <a:p>
          <a:pPr eaLnBrk="1" fontAlgn="auto" latinLnBrk="0" hangingPunct="1"/>
          <a:endParaRPr lang="lt-LT" sz="1600" b="1" i="0" baseline="0">
            <a:solidFill>
              <a:srgbClr val="FF0000"/>
            </a:solidFill>
            <a:effectLst/>
            <a:latin typeface="+mn-lt"/>
            <a:ea typeface="+mn-ea"/>
            <a:cs typeface="+mn-cs"/>
          </a:endParaRPr>
        </a:p>
        <a:p>
          <a:pPr eaLnBrk="1" fontAlgn="auto" latinLnBrk="0" hangingPunct="1"/>
          <a:r>
            <a:rPr lang="en-US" sz="1600" b="1" i="0" baseline="0">
              <a:solidFill>
                <a:schemeClr val="accent3">
                  <a:lumMod val="25000"/>
                </a:schemeClr>
              </a:solidFill>
              <a:effectLst/>
              <a:latin typeface="+mn-lt"/>
              <a:ea typeface="+mn-ea"/>
              <a:cs typeface="+mn-cs"/>
            </a:rPr>
            <a:t>3. </a:t>
          </a:r>
          <a:r>
            <a:rPr lang="lt-LT" sz="1600" b="1" i="0" baseline="0">
              <a:solidFill>
                <a:schemeClr val="accent3">
                  <a:lumMod val="25000"/>
                </a:schemeClr>
              </a:solidFill>
              <a:effectLst/>
              <a:latin typeface="+mn-lt"/>
              <a:ea typeface="+mn-ea"/>
              <a:cs typeface="+mn-cs"/>
            </a:rPr>
            <a:t>Rezultatai ir jų interpretacija</a:t>
          </a:r>
        </a:p>
        <a:p>
          <a:pPr eaLnBrk="1" fontAlgn="auto" latinLnBrk="0" hangingPunct="1"/>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440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lang="lt-LT" sz="1400" b="0" i="0" baseline="0">
              <a:solidFill>
                <a:schemeClr val="accent3">
                  <a:lumMod val="25000"/>
                </a:schemeClr>
              </a:solidFill>
              <a:effectLst/>
              <a:latin typeface="+mn-lt"/>
              <a:ea typeface="+mn-ea"/>
              <a:cs typeface="+mn-cs"/>
            </a:rPr>
            <a:t>Pagal pateiktus duomenis, skaičiuoklė </a:t>
          </a:r>
          <a:r>
            <a:rPr lang="lt-LT" sz="1400" b="1" i="0" baseline="0">
              <a:solidFill>
                <a:schemeClr val="accent3">
                  <a:lumMod val="25000"/>
                </a:schemeClr>
              </a:solidFill>
              <a:effectLst/>
              <a:latin typeface="+mn-lt"/>
              <a:ea typeface="+mn-ea"/>
              <a:cs typeface="+mn-cs"/>
            </a:rPr>
            <a:t>automatiškai</a:t>
          </a:r>
          <a:r>
            <a:rPr lang="lt-LT" sz="1400" b="0" i="0" baseline="0">
              <a:solidFill>
                <a:schemeClr val="accent3">
                  <a:lumMod val="25000"/>
                </a:schemeClr>
              </a:solidFill>
              <a:effectLst/>
              <a:latin typeface="+mn-lt"/>
              <a:ea typeface="+mn-ea"/>
              <a:cs typeface="+mn-cs"/>
            </a:rPr>
            <a:t> apskaičiuoja 1) kiekvieno analizuojamo varianto </a:t>
          </a:r>
          <a:r>
            <a:rPr lang="lt-LT" sz="1400">
              <a:solidFill>
                <a:schemeClr val="accent3">
                  <a:lumMod val="25000"/>
                </a:schemeClr>
              </a:solidFill>
              <a:effectLst/>
              <a:latin typeface="+mn-lt"/>
              <a:ea typeface="+mn-ea"/>
              <a:cs typeface="+mn-cs"/>
            </a:rPr>
            <a:t>NO</a:t>
          </a:r>
          <a:r>
            <a:rPr lang="lt-LT" sz="1400" baseline="-25000">
              <a:solidFill>
                <a:schemeClr val="accent3">
                  <a:lumMod val="25000"/>
                </a:schemeClr>
              </a:solidFill>
              <a:effectLst/>
              <a:latin typeface="+mn-lt"/>
              <a:ea typeface="+mn-ea"/>
              <a:cs typeface="+mn-cs"/>
            </a:rPr>
            <a:t>x</a:t>
          </a:r>
          <a:r>
            <a:rPr lang="lt-LT" sz="1400">
              <a:solidFill>
                <a:schemeClr val="accent3">
                  <a:lumMod val="25000"/>
                </a:schemeClr>
              </a:solidFill>
              <a:effectLst/>
              <a:latin typeface="+mn-lt"/>
              <a:ea typeface="+mn-ea"/>
              <a:cs typeface="+mn-cs"/>
            </a:rPr>
            <a:t>, NMLOJ, KD</a:t>
          </a:r>
          <a:r>
            <a:rPr lang="en-US" sz="1400">
              <a:solidFill>
                <a:schemeClr val="accent3">
                  <a:lumMod val="25000"/>
                </a:schemeClr>
              </a:solidFill>
              <a:effectLst/>
              <a:latin typeface="+mn-lt"/>
              <a:ea typeface="+mn-ea"/>
              <a:cs typeface="+mn-cs"/>
            </a:rPr>
            <a:t>2.5, NH</a:t>
          </a:r>
          <a:r>
            <a:rPr lang="en-US" sz="1400" baseline="-25000">
              <a:solidFill>
                <a:schemeClr val="accent3">
                  <a:lumMod val="25000"/>
                </a:schemeClr>
              </a:solidFill>
              <a:effectLst/>
              <a:latin typeface="+mn-lt"/>
              <a:ea typeface="+mn-ea"/>
              <a:cs typeface="+mn-cs"/>
            </a:rPr>
            <a:t>3</a:t>
          </a:r>
          <a:r>
            <a:rPr lang="en-US" sz="1400">
              <a:solidFill>
                <a:schemeClr val="accent3">
                  <a:lumMod val="25000"/>
                </a:schemeClr>
              </a:solidFill>
              <a:effectLst/>
              <a:latin typeface="+mn-lt"/>
              <a:ea typeface="+mn-ea"/>
              <a:cs typeface="+mn-cs"/>
            </a:rPr>
            <a:t> </a:t>
          </a:r>
          <a:r>
            <a:rPr lang="lt-LT" sz="1400" b="0" i="0" baseline="0">
              <a:solidFill>
                <a:schemeClr val="accent3">
                  <a:lumMod val="25000"/>
                </a:schemeClr>
              </a:solidFill>
              <a:effectLst/>
              <a:latin typeface="+mn-lt"/>
              <a:ea typeface="+mn-ea"/>
              <a:cs typeface="+mn-cs"/>
            </a:rPr>
            <a:t>kiekių pokyčius, 2) visų analizuotų variantų </a:t>
          </a:r>
          <a:r>
            <a:rPr lang="lt-LT" sz="1400">
              <a:solidFill>
                <a:schemeClr val="accent3">
                  <a:lumMod val="25000"/>
                </a:schemeClr>
              </a:solidFill>
              <a:effectLst/>
              <a:latin typeface="+mn-lt"/>
              <a:ea typeface="+mn-ea"/>
              <a:cs typeface="+mn-cs"/>
            </a:rPr>
            <a:t>NO</a:t>
          </a:r>
          <a:r>
            <a:rPr lang="lt-LT" sz="1400" baseline="-25000">
              <a:solidFill>
                <a:schemeClr val="accent3">
                  <a:lumMod val="25000"/>
                </a:schemeClr>
              </a:solidFill>
              <a:effectLst/>
              <a:latin typeface="+mn-lt"/>
              <a:ea typeface="+mn-ea"/>
              <a:cs typeface="+mn-cs"/>
            </a:rPr>
            <a:t>x</a:t>
          </a:r>
          <a:r>
            <a:rPr lang="lt-LT" sz="1400">
              <a:solidFill>
                <a:schemeClr val="accent3">
                  <a:lumMod val="25000"/>
                </a:schemeClr>
              </a:solidFill>
              <a:effectLst/>
              <a:latin typeface="+mn-lt"/>
              <a:ea typeface="+mn-ea"/>
              <a:cs typeface="+mn-cs"/>
            </a:rPr>
            <a:t>, NMLOJ, KD</a:t>
          </a:r>
          <a:r>
            <a:rPr lang="en-US" sz="1400">
              <a:solidFill>
                <a:schemeClr val="accent3">
                  <a:lumMod val="25000"/>
                </a:schemeClr>
              </a:solidFill>
              <a:effectLst/>
              <a:latin typeface="+mn-lt"/>
              <a:ea typeface="+mn-ea"/>
              <a:cs typeface="+mn-cs"/>
            </a:rPr>
            <a:t>2.5, NH</a:t>
          </a:r>
          <a:r>
            <a:rPr lang="en-US" sz="1400" baseline="-25000">
              <a:solidFill>
                <a:schemeClr val="accent3">
                  <a:lumMod val="25000"/>
                </a:schemeClr>
              </a:solidFill>
              <a:effectLst/>
              <a:latin typeface="+mn-lt"/>
              <a:ea typeface="+mn-ea"/>
              <a:cs typeface="+mn-cs"/>
            </a:rPr>
            <a:t>3</a:t>
          </a:r>
          <a:r>
            <a:rPr lang="lt-LT" sz="1400" b="0" i="0" baseline="0">
              <a:solidFill>
                <a:schemeClr val="accent3">
                  <a:lumMod val="25000"/>
                </a:schemeClr>
              </a:solidFill>
              <a:effectLst/>
              <a:latin typeface="+mn-lt"/>
              <a:ea typeface="+mn-ea"/>
              <a:cs typeface="+mn-cs"/>
            </a:rPr>
            <a:t> kiekių pokyčių sumą.  </a:t>
          </a:r>
        </a:p>
        <a:p>
          <a:pPr marL="285750" marR="0" lvl="0" indent="-28440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lang="lt-LT" sz="1400" b="0" i="0" baseline="0">
              <a:solidFill>
                <a:schemeClr val="accent3">
                  <a:lumMod val="25000"/>
                </a:schemeClr>
              </a:solidFill>
              <a:effectLst/>
              <a:latin typeface="+mn-lt"/>
              <a:ea typeface="+mn-ea"/>
              <a:cs typeface="+mn-cs"/>
            </a:rPr>
            <a:t>Skaičiuoklės </a:t>
          </a:r>
          <a:r>
            <a:rPr lang="lt-LT" sz="1400" b="1" i="0" baseline="0">
              <a:solidFill>
                <a:schemeClr val="accent3">
                  <a:lumMod val="25000"/>
                </a:schemeClr>
              </a:solidFill>
              <a:effectLst/>
              <a:latin typeface="+mn-lt"/>
              <a:ea typeface="+mn-ea"/>
              <a:cs typeface="+mn-cs"/>
            </a:rPr>
            <a:t>rezultatai</a:t>
          </a:r>
          <a:r>
            <a:rPr lang="lt-LT" sz="1400" b="0" i="0" baseline="0">
              <a:solidFill>
                <a:schemeClr val="accent3">
                  <a:lumMod val="25000"/>
                </a:schemeClr>
              </a:solidFill>
              <a:effectLst/>
              <a:latin typeface="+mn-lt"/>
              <a:ea typeface="+mn-ea"/>
              <a:cs typeface="+mn-cs"/>
            </a:rPr>
            <a:t> yra </a:t>
          </a:r>
          <a:r>
            <a:rPr lang="lt-LT" sz="1400" b="1" i="0" baseline="0">
              <a:solidFill>
                <a:schemeClr val="accent3">
                  <a:lumMod val="25000"/>
                </a:schemeClr>
              </a:solidFill>
              <a:effectLst/>
              <a:latin typeface="+mn-lt"/>
              <a:ea typeface="+mn-ea"/>
              <a:cs typeface="+mn-cs"/>
            </a:rPr>
            <a:t>apytiksliai</a:t>
          </a:r>
          <a:r>
            <a:rPr lang="lt-LT" sz="1400" b="0" i="0" baseline="0">
              <a:solidFill>
                <a:schemeClr val="accent3">
                  <a:lumMod val="25000"/>
                </a:schemeClr>
              </a:solidFill>
              <a:effectLst/>
              <a:latin typeface="+mn-lt"/>
              <a:ea typeface="+mn-ea"/>
              <a:cs typeface="+mn-cs"/>
            </a:rPr>
            <a:t>.</a:t>
          </a:r>
          <a:endParaRPr lang="lt-LT" sz="1400">
            <a:solidFill>
              <a:schemeClr val="accent3">
                <a:lumMod val="25000"/>
              </a:schemeClr>
            </a:solidFill>
            <a:effectLst/>
          </a:endParaRPr>
        </a:p>
        <a:p>
          <a:pPr marL="171450" indent="-28440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Šalia skaičiuoklės esantis grafikas vizualiai parodo oro teršalų kiekių pokyčių pasiskirstymą analizuotuose variantuose. </a:t>
          </a:r>
          <a:endParaRPr lang="lt-LT" sz="1400">
            <a:solidFill>
              <a:schemeClr val="accent3">
                <a:lumMod val="25000"/>
              </a:schemeClr>
            </a:solidFill>
            <a:effectLst/>
          </a:endParaRP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Teigiama</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oro teršalo kiekio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pokyčio reikšmė</a:t>
          </a: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&gt;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 kt /metus)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rodo, kad analizuojama teisėkūros iniciatyva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oro teršalo kiekį mažina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t.y. apskaičiuotas oro teršalo kiekis susidaręs iš projektinio veiklos rodiklio yra mažesnis nei susidaręs iš bazinio veiklos rodiklio ). Daroma prielaida, kad teisėkūros iniciatyvos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poveikis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aplinkos oro kokybei yra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teigiamas. </a:t>
          </a: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N</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eigiama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oro teršalo  kiekio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pokyčio</a:t>
          </a: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reikšmė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(&lt;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 kt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/metus)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rodo, kad analizuojama teisėkūros iniciatyva </a:t>
          </a:r>
          <a:r>
            <a:rPr kumimoji="0" lang="lt-LT" sz="1400" b="1" i="0" u="sng" strike="noStrike" kern="0" cap="none" spc="0" normalizeH="0" baseline="0" noProof="0">
              <a:ln>
                <a:noFill/>
              </a:ln>
              <a:solidFill>
                <a:schemeClr val="accent3">
                  <a:lumMod val="25000"/>
                </a:schemeClr>
              </a:solidFill>
              <a:effectLst/>
              <a:uLnTx/>
              <a:uFillTx/>
              <a:latin typeface="+mn-lt"/>
              <a:ea typeface="+mn-ea"/>
              <a:cs typeface="+mn-cs"/>
            </a:rPr>
            <a:t>oro teršalo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kiekį didina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t.y. apskaičiuotas oro teršalo  kiekis susidaręs iš projektinio veiklos rodiklio yra didesnis nei iš bazinio veiklos rodiklio ). Daroma prielaida, kad teisėkūros iniciatyvos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poveikis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aplinkos oro kokybei yra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neigiamas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Jei oro teršalo kiekio pokyčių reikšmės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viršija</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Teis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ėkūros poveikio aplinkai ir klimato kaitai (ex ante) vertinimo tvarkos aprašo" priede nustatytą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ribinę vertę </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a:t>
          </a:r>
          <a:r>
            <a:rPr lang="lt-LT" sz="1400" b="0">
              <a:solidFill>
                <a:schemeClr val="accent3">
                  <a:lumMod val="25000"/>
                </a:schemeClr>
              </a:solidFill>
              <a:effectLst/>
              <a:latin typeface="+mn-lt"/>
              <a:ea typeface="+mn-ea"/>
              <a:cs typeface="+mn-cs"/>
            </a:rPr>
            <a:t>NO</a:t>
          </a:r>
          <a:r>
            <a:rPr lang="lt-LT" sz="1400" b="0" baseline="-25000">
              <a:solidFill>
                <a:schemeClr val="accent3">
                  <a:lumMod val="25000"/>
                </a:schemeClr>
              </a:solidFill>
              <a:effectLst/>
              <a:latin typeface="+mn-lt"/>
              <a:ea typeface="+mn-ea"/>
              <a:cs typeface="+mn-cs"/>
            </a:rPr>
            <a:t>x </a:t>
          </a:r>
          <a:r>
            <a:rPr lang="lt-LT" sz="1400" b="0" baseline="0">
              <a:solidFill>
                <a:schemeClr val="accent3">
                  <a:lumMod val="25000"/>
                </a:schemeClr>
              </a:solidFill>
              <a:effectLst/>
              <a:latin typeface="+mn-lt"/>
              <a:ea typeface="+mn-ea"/>
              <a:cs typeface="+mn-cs"/>
            </a:rPr>
            <a:t> 0,0</a:t>
          </a:r>
          <a:r>
            <a:rPr lang="en-US" sz="1400" b="0" baseline="0">
              <a:solidFill>
                <a:schemeClr val="accent3">
                  <a:lumMod val="25000"/>
                </a:schemeClr>
              </a:solidFill>
              <a:effectLst/>
              <a:latin typeface="+mn-lt"/>
              <a:ea typeface="+mn-ea"/>
              <a:cs typeface="+mn-cs"/>
            </a:rPr>
            <a:t>1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kt/metus</a:t>
          </a:r>
          <a:r>
            <a:rPr lang="en-US" sz="1400" b="0" baseline="0">
              <a:solidFill>
                <a:schemeClr val="accent3">
                  <a:lumMod val="25000"/>
                </a:schemeClr>
              </a:solidFill>
              <a:effectLst/>
              <a:latin typeface="+mn-lt"/>
              <a:ea typeface="+mn-ea"/>
              <a:cs typeface="+mn-cs"/>
            </a:rPr>
            <a:t>;</a:t>
          </a:r>
          <a:r>
            <a:rPr lang="lt-LT" sz="1400" b="0">
              <a:solidFill>
                <a:schemeClr val="accent3">
                  <a:lumMod val="25000"/>
                </a:schemeClr>
              </a:solidFill>
              <a:effectLst/>
              <a:latin typeface="+mn-lt"/>
              <a:ea typeface="+mn-ea"/>
              <a:cs typeface="+mn-cs"/>
            </a:rPr>
            <a:t> NMLOJ</a:t>
          </a:r>
          <a:r>
            <a:rPr lang="en-US" sz="1400" b="0">
              <a:solidFill>
                <a:schemeClr val="accent3">
                  <a:lumMod val="25000"/>
                </a:schemeClr>
              </a:solidFill>
              <a:effectLst/>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0,01 kt/metus</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a:t>
          </a:r>
          <a:r>
            <a:rPr lang="lt-LT" sz="1400" b="0">
              <a:solidFill>
                <a:schemeClr val="accent3">
                  <a:lumMod val="25000"/>
                </a:schemeClr>
              </a:solidFill>
              <a:effectLst/>
              <a:latin typeface="+mn-lt"/>
              <a:ea typeface="+mn-ea"/>
              <a:cs typeface="+mn-cs"/>
            </a:rPr>
            <a:t> KD</a:t>
          </a:r>
          <a:r>
            <a:rPr lang="en-US" sz="1400" b="0">
              <a:solidFill>
                <a:schemeClr val="accent3">
                  <a:lumMod val="25000"/>
                </a:schemeClr>
              </a:solidFill>
              <a:effectLst/>
              <a:latin typeface="+mn-lt"/>
              <a:ea typeface="+mn-ea"/>
              <a:cs typeface="+mn-cs"/>
            </a:rPr>
            <a:t>2.5 0,1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kt/metus</a:t>
          </a:r>
          <a:r>
            <a:rPr lang="en-US" sz="1400" b="0">
              <a:solidFill>
                <a:schemeClr val="accent3">
                  <a:lumMod val="25000"/>
                </a:schemeClr>
              </a:solidFill>
              <a:effectLst/>
              <a:latin typeface="+mn-lt"/>
              <a:ea typeface="+mn-ea"/>
              <a:cs typeface="+mn-cs"/>
            </a:rPr>
            <a:t>; NH</a:t>
          </a:r>
          <a:r>
            <a:rPr lang="en-US" sz="1400" b="0" baseline="-25000">
              <a:solidFill>
                <a:schemeClr val="accent3">
                  <a:lumMod val="25000"/>
                </a:schemeClr>
              </a:solidFill>
              <a:effectLst/>
              <a:latin typeface="+mn-lt"/>
              <a:ea typeface="+mn-ea"/>
              <a:cs typeface="+mn-cs"/>
            </a:rPr>
            <a:t>3</a:t>
          </a:r>
          <a:r>
            <a:rPr lang="en-US" sz="1400" b="0">
              <a:solidFill>
                <a:schemeClr val="accent3">
                  <a:lumMod val="25000"/>
                </a:schemeClr>
              </a:solidFill>
              <a:effectLst/>
              <a:latin typeface="+mn-lt"/>
              <a:ea typeface="+mn-ea"/>
              <a:cs typeface="+mn-cs"/>
            </a:rPr>
            <a:t> </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0,01 kt/metus)</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laikoma, kad teisėkūros iniciatyvos poveikis aplinkos oro kokybei yra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reikšmingai neigiamas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p>
        <a:p>
          <a:pPr marL="285750" indent="-2857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Reikšmingai neigiamam teisėkūros iniciatyvos poveikio identifikavimui, </a:t>
          </a:r>
          <a:r>
            <a:rPr lang="en-US" sz="1400" b="0" i="0" baseline="0">
              <a:solidFill>
                <a:schemeClr val="accent3">
                  <a:lumMod val="25000"/>
                </a:schemeClr>
              </a:solidFill>
              <a:effectLst/>
              <a:latin typeface="+mn-lt"/>
              <a:ea typeface="+mn-ea"/>
              <a:cs typeface="+mn-cs"/>
            </a:rPr>
            <a:t>atitinkami </a:t>
          </a:r>
          <a:r>
            <a:rPr lang="lt-LT" sz="1400" b="0" i="0" baseline="0">
              <a:solidFill>
                <a:schemeClr val="accent3">
                  <a:lumMod val="25000"/>
                </a:schemeClr>
              </a:solidFill>
              <a:effectLst/>
              <a:latin typeface="+mn-lt"/>
              <a:ea typeface="+mn-ea"/>
              <a:cs typeface="+mn-cs"/>
            </a:rPr>
            <a:t>skaičiuoklė</a:t>
          </a:r>
          <a:r>
            <a:rPr lang="en-US" sz="1400" b="0" i="0" baseline="0">
              <a:solidFill>
                <a:schemeClr val="accent3">
                  <a:lumMod val="25000"/>
                </a:schemeClr>
              </a:solidFill>
              <a:effectLst/>
              <a:latin typeface="+mn-lt"/>
              <a:ea typeface="+mn-ea"/>
              <a:cs typeface="+mn-cs"/>
            </a:rPr>
            <a:t>s laukeliai</a:t>
          </a:r>
          <a:r>
            <a:rPr lang="lt-LT" sz="1400" b="0" i="0" baseline="0">
              <a:solidFill>
                <a:schemeClr val="accent3">
                  <a:lumMod val="25000"/>
                </a:schemeClr>
              </a:solidFill>
              <a:effectLst/>
              <a:latin typeface="+mn-lt"/>
              <a:ea typeface="+mn-ea"/>
              <a:cs typeface="+mn-cs"/>
            </a:rPr>
            <a:t> automatiškai nuspalvinami tamsiai žalia spalva.</a:t>
          </a:r>
        </a:p>
      </xdr:txBody>
    </xdr:sp>
    <xdr:clientData/>
  </xdr:twoCellAnchor>
  <xdr:twoCellAnchor>
    <xdr:from>
      <xdr:col>0</xdr:col>
      <xdr:colOff>357909</xdr:colOff>
      <xdr:row>43</xdr:row>
      <xdr:rowOff>11545</xdr:rowOff>
    </xdr:from>
    <xdr:to>
      <xdr:col>3</xdr:col>
      <xdr:colOff>135728</xdr:colOff>
      <xdr:row>51</xdr:row>
      <xdr:rowOff>155861</xdr:rowOff>
    </xdr:to>
    <xdr:grpSp>
      <xdr:nvGrpSpPr>
        <xdr:cNvPr id="17" name="Grupė 16">
          <a:extLst>
            <a:ext uri="{FF2B5EF4-FFF2-40B4-BE49-F238E27FC236}">
              <a16:creationId xmlns:a16="http://schemas.microsoft.com/office/drawing/2014/main" id="{61243C51-D2EF-4CA9-9223-D5AFE7CA14D7}"/>
            </a:ext>
          </a:extLst>
        </xdr:cNvPr>
        <xdr:cNvGrpSpPr/>
      </xdr:nvGrpSpPr>
      <xdr:grpSpPr>
        <a:xfrm>
          <a:off x="357909" y="8203045"/>
          <a:ext cx="1614783" cy="1668316"/>
          <a:chOff x="396875" y="8016875"/>
          <a:chExt cx="1717455" cy="1622134"/>
        </a:xfrm>
      </xdr:grpSpPr>
      <xdr:sp macro="" textlink="">
        <xdr:nvSpPr>
          <xdr:cNvPr id="19" name="TextBox 18">
            <a:hlinkClick xmlns:r="http://schemas.openxmlformats.org/officeDocument/2006/relationships" r:id="rId5"/>
            <a:extLst>
              <a:ext uri="{FF2B5EF4-FFF2-40B4-BE49-F238E27FC236}">
                <a16:creationId xmlns:a16="http://schemas.microsoft.com/office/drawing/2014/main" id="{AC6E6CEA-6862-863B-7AF3-9D690C74244B}"/>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20" name="Paveikslėlis 19">
            <a:extLst>
              <a:ext uri="{FF2B5EF4-FFF2-40B4-BE49-F238E27FC236}">
                <a16:creationId xmlns:a16="http://schemas.microsoft.com/office/drawing/2014/main" id="{98FFF869-C7B0-D98C-305B-BB7BABE990EB}"/>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twoCellAnchor>
    <xdr:from>
      <xdr:col>0</xdr:col>
      <xdr:colOff>367393</xdr:colOff>
      <xdr:row>2</xdr:row>
      <xdr:rowOff>13609</xdr:rowOff>
    </xdr:from>
    <xdr:to>
      <xdr:col>2</xdr:col>
      <xdr:colOff>537054</xdr:colOff>
      <xdr:row>5</xdr:row>
      <xdr:rowOff>40800</xdr:rowOff>
    </xdr:to>
    <xdr:pic>
      <xdr:nvPicPr>
        <xdr:cNvPr id="2" name="Paveikslėlis 2">
          <a:extLst>
            <a:ext uri="{FF2B5EF4-FFF2-40B4-BE49-F238E27FC236}">
              <a16:creationId xmlns:a16="http://schemas.microsoft.com/office/drawing/2014/main" id="{84DF8974-1090-479A-B7AC-959473B1BF9B}"/>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67393" y="394609"/>
          <a:ext cx="1394304" cy="598691"/>
        </a:xfrm>
        <a:prstGeom prst="rect">
          <a:avLst/>
        </a:prstGeom>
      </xdr:spPr>
    </xdr:pic>
    <xdr:clientData/>
  </xdr:twoCellAnchor>
  <xdr:twoCellAnchor editAs="oneCell">
    <xdr:from>
      <xdr:col>0</xdr:col>
      <xdr:colOff>356510</xdr:colOff>
      <xdr:row>8</xdr:row>
      <xdr:rowOff>13608</xdr:rowOff>
    </xdr:from>
    <xdr:to>
      <xdr:col>3</xdr:col>
      <xdr:colOff>908</xdr:colOff>
      <xdr:row>11</xdr:row>
      <xdr:rowOff>162108</xdr:rowOff>
    </xdr:to>
    <xdr:pic>
      <xdr:nvPicPr>
        <xdr:cNvPr id="3" name="Picture 2">
          <a:hlinkClick xmlns:r="http://schemas.openxmlformats.org/officeDocument/2006/relationships" r:id="rId8"/>
          <a:extLst>
            <a:ext uri="{FF2B5EF4-FFF2-40B4-BE49-F238E27FC236}">
              <a16:creationId xmlns:a16="http://schemas.microsoft.com/office/drawing/2014/main" id="{DA00FE49-503C-4172-A2B8-DFD4702002E9}"/>
            </a:ext>
          </a:extLst>
        </xdr:cNvPr>
        <xdr:cNvPicPr>
          <a:picLocks noChangeAspect="1"/>
        </xdr:cNvPicPr>
      </xdr:nvPicPr>
      <xdr:blipFill>
        <a:blip xmlns:r="http://schemas.openxmlformats.org/officeDocument/2006/relationships" r:embed="rId9"/>
        <a:stretch>
          <a:fillRect/>
        </a:stretch>
      </xdr:blipFill>
      <xdr:spPr>
        <a:xfrm>
          <a:off x="356510" y="1537608"/>
          <a:ext cx="1478641" cy="720000"/>
        </a:xfrm>
        <a:prstGeom prst="rect">
          <a:avLst/>
        </a:prstGeom>
      </xdr:spPr>
    </xdr:pic>
    <xdr:clientData/>
  </xdr:twoCellAnchor>
  <xdr:twoCellAnchor editAs="oneCell">
    <xdr:from>
      <xdr:col>0</xdr:col>
      <xdr:colOff>356509</xdr:colOff>
      <xdr:row>13</xdr:row>
      <xdr:rowOff>13608</xdr:rowOff>
    </xdr:from>
    <xdr:to>
      <xdr:col>3</xdr:col>
      <xdr:colOff>2723</xdr:colOff>
      <xdr:row>16</xdr:row>
      <xdr:rowOff>162108</xdr:rowOff>
    </xdr:to>
    <xdr:pic>
      <xdr:nvPicPr>
        <xdr:cNvPr id="4" name="Picture 3">
          <a:extLst>
            <a:ext uri="{FF2B5EF4-FFF2-40B4-BE49-F238E27FC236}">
              <a16:creationId xmlns:a16="http://schemas.microsoft.com/office/drawing/2014/main" id="{61BC04D8-BEC3-43EC-9B44-DC10C47C057E}"/>
            </a:ext>
          </a:extLst>
        </xdr:cNvPr>
        <xdr:cNvPicPr>
          <a:picLocks noChangeAspect="1"/>
        </xdr:cNvPicPr>
      </xdr:nvPicPr>
      <xdr:blipFill>
        <a:blip xmlns:r="http://schemas.openxmlformats.org/officeDocument/2006/relationships" r:embed="rId10">
          <a:extLst>
            <a:ext uri="{BEBA8EAE-BF5A-486C-A8C5-ECC9F3942E4B}">
              <a14:imgProps xmlns:a14="http://schemas.microsoft.com/office/drawing/2010/main">
                <a14:imgLayer r:embed="rId11">
                  <a14:imgEffect>
                    <a14:colorTemperature colorTemp="5900"/>
                  </a14:imgEffect>
                  <a14:imgEffect>
                    <a14:saturation sat="66000"/>
                  </a14:imgEffect>
                </a14:imgLayer>
              </a14:imgProps>
            </a:ext>
          </a:extLst>
        </a:blip>
        <a:stretch>
          <a:fillRect/>
        </a:stretch>
      </xdr:blipFill>
      <xdr:spPr>
        <a:xfrm>
          <a:off x="356509" y="2490108"/>
          <a:ext cx="1483178" cy="720000"/>
        </a:xfrm>
        <a:prstGeom prst="rect">
          <a:avLst/>
        </a:prstGeom>
      </xdr:spPr>
    </xdr:pic>
    <xdr:clientData/>
  </xdr:twoCellAnchor>
  <xdr:twoCellAnchor editAs="oneCell">
    <xdr:from>
      <xdr:col>0</xdr:col>
      <xdr:colOff>353786</xdr:colOff>
      <xdr:row>18</xdr:row>
      <xdr:rowOff>13608</xdr:rowOff>
    </xdr:from>
    <xdr:to>
      <xdr:col>3</xdr:col>
      <xdr:colOff>1362</xdr:colOff>
      <xdr:row>21</xdr:row>
      <xdr:rowOff>162108</xdr:rowOff>
    </xdr:to>
    <xdr:pic>
      <xdr:nvPicPr>
        <xdr:cNvPr id="9" name="Picture 8">
          <a:hlinkClick xmlns:r="http://schemas.openxmlformats.org/officeDocument/2006/relationships" r:id="rId12"/>
          <a:extLst>
            <a:ext uri="{FF2B5EF4-FFF2-40B4-BE49-F238E27FC236}">
              <a16:creationId xmlns:a16="http://schemas.microsoft.com/office/drawing/2014/main" id="{C904575A-050B-424C-96B0-747134CC1BBB}"/>
            </a:ext>
          </a:extLst>
        </xdr:cNvPr>
        <xdr:cNvPicPr>
          <a:picLocks noChangeAspect="1"/>
        </xdr:cNvPicPr>
      </xdr:nvPicPr>
      <xdr:blipFill>
        <a:blip xmlns:r="http://schemas.openxmlformats.org/officeDocument/2006/relationships" r:embed="rId13"/>
        <a:stretch>
          <a:fillRect/>
        </a:stretch>
      </xdr:blipFill>
      <xdr:spPr>
        <a:xfrm>
          <a:off x="353786" y="3442608"/>
          <a:ext cx="1484540" cy="720000"/>
        </a:xfrm>
        <a:prstGeom prst="rect">
          <a:avLst/>
        </a:prstGeom>
      </xdr:spPr>
    </xdr:pic>
    <xdr:clientData/>
  </xdr:twoCellAnchor>
  <xdr:twoCellAnchor editAs="oneCell">
    <xdr:from>
      <xdr:col>0</xdr:col>
      <xdr:colOff>353786</xdr:colOff>
      <xdr:row>23</xdr:row>
      <xdr:rowOff>13608</xdr:rowOff>
    </xdr:from>
    <xdr:to>
      <xdr:col>3</xdr:col>
      <xdr:colOff>6125</xdr:colOff>
      <xdr:row>26</xdr:row>
      <xdr:rowOff>162108</xdr:rowOff>
    </xdr:to>
    <xdr:pic>
      <xdr:nvPicPr>
        <xdr:cNvPr id="11" name="Picture 10">
          <a:hlinkClick xmlns:r="http://schemas.openxmlformats.org/officeDocument/2006/relationships" r:id="rId14"/>
          <a:extLst>
            <a:ext uri="{FF2B5EF4-FFF2-40B4-BE49-F238E27FC236}">
              <a16:creationId xmlns:a16="http://schemas.microsoft.com/office/drawing/2014/main" id="{27C438BB-034D-48DE-B42C-DC7832F40AAA}"/>
            </a:ext>
          </a:extLst>
        </xdr:cNvPr>
        <xdr:cNvPicPr>
          <a:picLocks noChangeAspect="1"/>
        </xdr:cNvPicPr>
      </xdr:nvPicPr>
      <xdr:blipFill>
        <a:blip xmlns:r="http://schemas.openxmlformats.org/officeDocument/2006/relationships" r:embed="rId15"/>
        <a:stretch>
          <a:fillRect/>
        </a:stretch>
      </xdr:blipFill>
      <xdr:spPr>
        <a:xfrm>
          <a:off x="353786" y="4395108"/>
          <a:ext cx="1489303" cy="72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122464</xdr:colOff>
      <xdr:row>0</xdr:row>
      <xdr:rowOff>136071</xdr:rowOff>
    </xdr:from>
    <xdr:ext cx="1932215" cy="13680621"/>
    <xdr:pic>
      <xdr:nvPicPr>
        <xdr:cNvPr id="2" name="Picture 1">
          <a:extLst>
            <a:ext uri="{FF2B5EF4-FFF2-40B4-BE49-F238E27FC236}">
              <a16:creationId xmlns:a16="http://schemas.microsoft.com/office/drawing/2014/main" id="{09FD2D1F-8453-48ED-A9C6-91CE52CBB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136071"/>
          <a:ext cx="1932215" cy="136806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533400</xdr:colOff>
      <xdr:row>215</xdr:row>
      <xdr:rowOff>0</xdr:rowOff>
    </xdr:from>
    <xdr:to>
      <xdr:col>3</xdr:col>
      <xdr:colOff>38100</xdr:colOff>
      <xdr:row>217</xdr:row>
      <xdr:rowOff>76200</xdr:rowOff>
    </xdr:to>
    <xdr:sp macro="" textlink="">
      <xdr:nvSpPr>
        <xdr:cNvPr id="14" name="TextBox 4">
          <a:extLst>
            <a:ext uri="{FF2B5EF4-FFF2-40B4-BE49-F238E27FC236}">
              <a16:creationId xmlns:a16="http://schemas.microsoft.com/office/drawing/2014/main" id="{369E5C0F-CA1E-45B7-AC7E-CB279AC25847}"/>
            </a:ext>
            <a:ext uri="{147F2762-F138-4A5C-976F-8EAC2B608ADB}">
              <a16:predDERef xmlns:a16="http://schemas.microsoft.com/office/drawing/2014/main" pred="{5B1BED55-027B-485D-975D-7C01967048E3}"/>
            </a:ext>
          </a:extLst>
        </xdr:cNvPr>
        <xdr:cNvSpPr txBox="1"/>
      </xdr:nvSpPr>
      <xdr:spPr>
        <a:xfrm>
          <a:off x="533400" y="7410450"/>
          <a:ext cx="1333500"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a:solidFill>
                <a:srgbClr val="808080"/>
              </a:solidFill>
              <a:latin typeface="+mn-lt"/>
              <a:ea typeface="+mn-lt"/>
              <a:cs typeface="+mn-lt"/>
            </a:rPr>
            <a:t>+370 682 92 653</a:t>
          </a:r>
        </a:p>
      </xdr:txBody>
    </xdr:sp>
    <xdr:clientData/>
  </xdr:twoCellAnchor>
  <xdr:oneCellAnchor>
    <xdr:from>
      <xdr:col>1</xdr:col>
      <xdr:colOff>282348</xdr:colOff>
      <xdr:row>211</xdr:row>
      <xdr:rowOff>154779</xdr:rowOff>
    </xdr:from>
    <xdr:ext cx="354857" cy="428190"/>
    <xdr:pic>
      <xdr:nvPicPr>
        <xdr:cNvPr id="7" name="Grafinis elementas 27" descr="Receiver outline">
          <a:extLst>
            <a:ext uri="{FF2B5EF4-FFF2-40B4-BE49-F238E27FC236}">
              <a16:creationId xmlns:a16="http://schemas.microsoft.com/office/drawing/2014/main" id="{CB5BC60E-5B9D-4CA7-9782-DE89B078F5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94669" y="7012779"/>
          <a:ext cx="354857" cy="428190"/>
        </a:xfrm>
        <a:prstGeom prst="rect">
          <a:avLst/>
        </a:prstGeom>
      </xdr:spPr>
    </xdr:pic>
    <xdr:clientData/>
  </xdr:oneCellAnchor>
  <xdr:twoCellAnchor>
    <xdr:from>
      <xdr:col>17</xdr:col>
      <xdr:colOff>194622</xdr:colOff>
      <xdr:row>1</xdr:row>
      <xdr:rowOff>119167</xdr:rowOff>
    </xdr:from>
    <xdr:to>
      <xdr:col>25</xdr:col>
      <xdr:colOff>412338</xdr:colOff>
      <xdr:row>3</xdr:row>
      <xdr:rowOff>103910</xdr:rowOff>
    </xdr:to>
    <xdr:sp macro="" textlink="">
      <xdr:nvSpPr>
        <xdr:cNvPr id="48" name="Rectangle 14">
          <a:extLst>
            <a:ext uri="{FF2B5EF4-FFF2-40B4-BE49-F238E27FC236}">
              <a16:creationId xmlns:a16="http://schemas.microsoft.com/office/drawing/2014/main" id="{609DEACF-2BD9-8CCA-C121-81373325173F}"/>
            </a:ext>
          </a:extLst>
        </xdr:cNvPr>
        <xdr:cNvSpPr/>
      </xdr:nvSpPr>
      <xdr:spPr>
        <a:xfrm>
          <a:off x="13217895" y="303894"/>
          <a:ext cx="5390079" cy="354198"/>
        </a:xfrm>
        <a:prstGeom prst="rect">
          <a:avLst/>
        </a:prstGeom>
        <a:solidFill>
          <a:schemeClr val="accent5">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solidFill>
                <a:schemeClr val="accent3">
                  <a:lumMod val="25000"/>
                </a:schemeClr>
              </a:solidFill>
            </a:rPr>
            <a:t>ORO TER</a:t>
          </a:r>
          <a:r>
            <a:rPr lang="lt-LT" sz="1100" b="1" baseline="0">
              <a:solidFill>
                <a:schemeClr val="accent3">
                  <a:lumMod val="25000"/>
                </a:schemeClr>
              </a:solidFill>
            </a:rPr>
            <a:t>ŠALŲ KIEKIŲ POKYČIŲ PASISKIRSTYMAS</a:t>
          </a:r>
          <a:endParaRPr lang="lt-LT" sz="1100" b="1">
            <a:solidFill>
              <a:schemeClr val="accent3">
                <a:lumMod val="25000"/>
              </a:schemeClr>
            </a:solidFill>
          </a:endParaRPr>
        </a:p>
      </xdr:txBody>
    </xdr:sp>
    <xdr:clientData/>
  </xdr:twoCellAnchor>
  <xdr:twoCellAnchor>
    <xdr:from>
      <xdr:col>17</xdr:col>
      <xdr:colOff>38100</xdr:colOff>
      <xdr:row>1</xdr:row>
      <xdr:rowOff>0</xdr:rowOff>
    </xdr:from>
    <xdr:to>
      <xdr:col>26</xdr:col>
      <xdr:colOff>13607</xdr:colOff>
      <xdr:row>16</xdr:row>
      <xdr:rowOff>0</xdr:rowOff>
    </xdr:to>
    <xdr:sp macro="" textlink="">
      <xdr:nvSpPr>
        <xdr:cNvPr id="50" name="Stačiakampis 22">
          <a:extLst>
            <a:ext uri="{FF2B5EF4-FFF2-40B4-BE49-F238E27FC236}">
              <a16:creationId xmlns:a16="http://schemas.microsoft.com/office/drawing/2014/main" id="{7A38DE72-A143-4058-B7AF-8B97063E5FB2}"/>
            </a:ext>
            <a:ext uri="{147F2762-F138-4A5C-976F-8EAC2B608ADB}">
              <a16:predDERef xmlns:a16="http://schemas.microsoft.com/office/drawing/2014/main" pred="{609DEACF-2BD9-8CCA-C121-81373325173F}"/>
            </a:ext>
          </a:extLst>
        </xdr:cNvPr>
        <xdr:cNvSpPr/>
      </xdr:nvSpPr>
      <xdr:spPr>
        <a:xfrm>
          <a:off x="12488636" y="190500"/>
          <a:ext cx="5486400" cy="4463143"/>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13</xdr:col>
      <xdr:colOff>544284</xdr:colOff>
      <xdr:row>205</xdr:row>
      <xdr:rowOff>2</xdr:rowOff>
    </xdr:from>
    <xdr:to>
      <xdr:col>14</xdr:col>
      <xdr:colOff>367392</xdr:colOff>
      <xdr:row>206</xdr:row>
      <xdr:rowOff>40823</xdr:rowOff>
    </xdr:to>
    <xdr:sp macro="" textlink="">
      <xdr:nvSpPr>
        <xdr:cNvPr id="17" name="Rectangle 16">
          <a:extLst>
            <a:ext uri="{FF2B5EF4-FFF2-40B4-BE49-F238E27FC236}">
              <a16:creationId xmlns:a16="http://schemas.microsoft.com/office/drawing/2014/main" id="{5CF5CA76-532A-6435-10F0-7AC2C22ADAA0}"/>
            </a:ext>
          </a:extLst>
        </xdr:cNvPr>
        <xdr:cNvSpPr/>
      </xdr:nvSpPr>
      <xdr:spPr>
        <a:xfrm>
          <a:off x="10123713" y="5687788"/>
          <a:ext cx="666750" cy="244928"/>
        </a:xfrm>
        <a:prstGeom prst="rect">
          <a:avLst/>
        </a:prstGeom>
        <a:solidFill>
          <a:schemeClr val="accent5">
            <a:lumMod val="40000"/>
            <a:lumOff val="6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13</xdr:col>
      <xdr:colOff>544283</xdr:colOff>
      <xdr:row>206</xdr:row>
      <xdr:rowOff>149681</xdr:rowOff>
    </xdr:from>
    <xdr:to>
      <xdr:col>14</xdr:col>
      <xdr:colOff>367392</xdr:colOff>
      <xdr:row>207</xdr:row>
      <xdr:rowOff>190502</xdr:rowOff>
    </xdr:to>
    <xdr:sp macro="" textlink="">
      <xdr:nvSpPr>
        <xdr:cNvPr id="36" name="Rectangle 17">
          <a:extLst>
            <a:ext uri="{FF2B5EF4-FFF2-40B4-BE49-F238E27FC236}">
              <a16:creationId xmlns:a16="http://schemas.microsoft.com/office/drawing/2014/main" id="{B0F2A53F-9034-7542-9096-34B50089C2F8}"/>
            </a:ext>
          </a:extLst>
        </xdr:cNvPr>
        <xdr:cNvSpPr/>
      </xdr:nvSpPr>
      <xdr:spPr>
        <a:xfrm>
          <a:off x="10123712" y="6041574"/>
          <a:ext cx="666751" cy="244928"/>
        </a:xfrm>
        <a:prstGeom prst="rect">
          <a:avLst/>
        </a:prstGeom>
        <a:solidFill>
          <a:schemeClr val="tx1">
            <a:lumMod val="60000"/>
            <a:lumOff val="4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oneCellAnchor>
    <xdr:from>
      <xdr:col>14</xdr:col>
      <xdr:colOff>408214</xdr:colOff>
      <xdr:row>205</xdr:row>
      <xdr:rowOff>3</xdr:rowOff>
    </xdr:from>
    <xdr:ext cx="2027464" cy="264560"/>
    <xdr:sp macro="" textlink="">
      <xdr:nvSpPr>
        <xdr:cNvPr id="39" name="TextBox 18">
          <a:extLst>
            <a:ext uri="{FF2B5EF4-FFF2-40B4-BE49-F238E27FC236}">
              <a16:creationId xmlns:a16="http://schemas.microsoft.com/office/drawing/2014/main" id="{A18AAFCA-C971-BB8E-799E-BB820E038388}"/>
            </a:ext>
            <a:ext uri="{147F2762-F138-4A5C-976F-8EAC2B608ADB}">
              <a16:predDERef xmlns:a16="http://schemas.microsoft.com/office/drawing/2014/main" pred="{B0F2A53F-9034-7542-9096-34B50089C2F8}"/>
            </a:ext>
          </a:extLst>
        </xdr:cNvPr>
        <xdr:cNvSpPr txBox="1"/>
      </xdr:nvSpPr>
      <xdr:spPr>
        <a:xfrm>
          <a:off x="10831285" y="5687789"/>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accent3">
                  <a:lumMod val="25000"/>
                </a:schemeClr>
              </a:solidFill>
            </a:rPr>
            <a:t>pasirinkimo laukelis vartotojui;</a:t>
          </a:r>
          <a:endParaRPr lang="lt-LT" sz="1100">
            <a:solidFill>
              <a:schemeClr val="accent3">
                <a:lumMod val="25000"/>
              </a:schemeClr>
            </a:solidFill>
          </a:endParaRPr>
        </a:p>
      </xdr:txBody>
    </xdr:sp>
    <xdr:clientData/>
  </xdr:oneCellAnchor>
  <xdr:oneCellAnchor>
    <xdr:from>
      <xdr:col>14</xdr:col>
      <xdr:colOff>383722</xdr:colOff>
      <xdr:row>206</xdr:row>
      <xdr:rowOff>149681</xdr:rowOff>
    </xdr:from>
    <xdr:ext cx="2027464" cy="264560"/>
    <xdr:sp macro="" textlink="">
      <xdr:nvSpPr>
        <xdr:cNvPr id="44" name="TextBox 19">
          <a:extLst>
            <a:ext uri="{FF2B5EF4-FFF2-40B4-BE49-F238E27FC236}">
              <a16:creationId xmlns:a16="http://schemas.microsoft.com/office/drawing/2014/main" id="{BA02AAFA-DA95-44A6-8F57-046E7C08D55C}"/>
            </a:ext>
          </a:extLst>
        </xdr:cNvPr>
        <xdr:cNvSpPr txBox="1"/>
      </xdr:nvSpPr>
      <xdr:spPr>
        <a:xfrm>
          <a:off x="10806793" y="6041574"/>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accent3">
                  <a:lumMod val="25000"/>
                </a:schemeClr>
              </a:solidFill>
            </a:rPr>
            <a:t>įvesties laukelis vartotojui;</a:t>
          </a:r>
          <a:endParaRPr lang="lt-LT" sz="1100">
            <a:solidFill>
              <a:schemeClr val="accent3">
                <a:lumMod val="25000"/>
              </a:schemeClr>
            </a:solidFill>
          </a:endParaRPr>
        </a:p>
      </xdr:txBody>
    </xdr:sp>
    <xdr:clientData/>
  </xdr:oneCellAnchor>
  <xdr:oneCellAnchor>
    <xdr:from>
      <xdr:col>4</xdr:col>
      <xdr:colOff>99786</xdr:colOff>
      <xdr:row>201</xdr:row>
      <xdr:rowOff>27212</xdr:rowOff>
    </xdr:from>
    <xdr:ext cx="9593035" cy="264560"/>
    <xdr:sp macro="" textlink="">
      <xdr:nvSpPr>
        <xdr:cNvPr id="29" name="TextBox 10">
          <a:extLst>
            <a:ext uri="{FF2B5EF4-FFF2-40B4-BE49-F238E27FC236}">
              <a16:creationId xmlns:a16="http://schemas.microsoft.com/office/drawing/2014/main" id="{A67591C1-6F00-4468-B93D-DBD38A794528}"/>
            </a:ext>
            <a:ext uri="{147F2762-F138-4A5C-976F-8EAC2B608ADB}">
              <a16:predDERef xmlns:a16="http://schemas.microsoft.com/office/drawing/2014/main" pred="{78860406-061F-4C42-9909-2621068EF378}"/>
            </a:ext>
          </a:extLst>
        </xdr:cNvPr>
        <xdr:cNvSpPr txBox="1"/>
      </xdr:nvSpPr>
      <xdr:spPr>
        <a:xfrm>
          <a:off x="2676072" y="4971141"/>
          <a:ext cx="95930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1">
              <a:solidFill>
                <a:schemeClr val="accent3">
                  <a:lumMod val="25000"/>
                </a:schemeClr>
              </a:solidFill>
              <a:latin typeface="+mn-lt"/>
            </a:rPr>
            <a:t>ŽYMĖJIMAI IR PASTABOS</a:t>
          </a:r>
        </a:p>
      </xdr:txBody>
    </xdr:sp>
    <xdr:clientData/>
  </xdr:oneCellAnchor>
  <xdr:twoCellAnchor>
    <xdr:from>
      <xdr:col>0</xdr:col>
      <xdr:colOff>581931</xdr:colOff>
      <xdr:row>206</xdr:row>
      <xdr:rowOff>112032</xdr:rowOff>
    </xdr:from>
    <xdr:to>
      <xdr:col>3</xdr:col>
      <xdr:colOff>126141</xdr:colOff>
      <xdr:row>207</xdr:row>
      <xdr:rowOff>194673</xdr:rowOff>
    </xdr:to>
    <xdr:sp macro="" textlink="">
      <xdr:nvSpPr>
        <xdr:cNvPr id="23" name="TextBox 22">
          <a:extLst>
            <a:ext uri="{FF2B5EF4-FFF2-40B4-BE49-F238E27FC236}">
              <a16:creationId xmlns:a16="http://schemas.microsoft.com/office/drawing/2014/main" id="{21D85E94-8884-4077-9251-C731F6E912B6}"/>
            </a:ext>
          </a:extLst>
        </xdr:cNvPr>
        <xdr:cNvSpPr txBox="1"/>
      </xdr:nvSpPr>
      <xdr:spPr>
        <a:xfrm>
          <a:off x="581931" y="5990318"/>
          <a:ext cx="1381174" cy="28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xdr:col>
      <xdr:colOff>190501</xdr:colOff>
      <xdr:row>204</xdr:row>
      <xdr:rowOff>81643</xdr:rowOff>
    </xdr:from>
    <xdr:to>
      <xdr:col>2</xdr:col>
      <xdr:colOff>98722</xdr:colOff>
      <xdr:row>206</xdr:row>
      <xdr:rowOff>103405</xdr:rowOff>
    </xdr:to>
    <xdr:pic>
      <xdr:nvPicPr>
        <xdr:cNvPr id="24" name="Grafinis elementas 10" descr="Envelope outline">
          <a:extLst>
            <a:ext uri="{FF2B5EF4-FFF2-40B4-BE49-F238E27FC236}">
              <a16:creationId xmlns:a16="http://schemas.microsoft.com/office/drawing/2014/main" id="{4B40B5C7-66C7-465E-8EB7-821B68FC9FB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802822" y="5551714"/>
          <a:ext cx="520543" cy="429977"/>
        </a:xfrm>
        <a:prstGeom prst="rect">
          <a:avLst/>
        </a:prstGeom>
      </xdr:spPr>
    </xdr:pic>
    <xdr:clientData/>
  </xdr:twoCellAnchor>
  <xdr:oneCellAnchor>
    <xdr:from>
      <xdr:col>4</xdr:col>
      <xdr:colOff>79828</xdr:colOff>
      <xdr:row>202</xdr:row>
      <xdr:rowOff>143330</xdr:rowOff>
    </xdr:from>
    <xdr:ext cx="4347029" cy="436786"/>
    <xdr:sp macro="" textlink="">
      <xdr:nvSpPr>
        <xdr:cNvPr id="28" name="TextBox 10">
          <a:extLst>
            <a:ext uri="{FF2B5EF4-FFF2-40B4-BE49-F238E27FC236}">
              <a16:creationId xmlns:a16="http://schemas.microsoft.com/office/drawing/2014/main" id="{F25FD18F-4DE0-4FEE-9F01-0552F0623BBA}"/>
            </a:ext>
            <a:ext uri="{147F2762-F138-4A5C-976F-8EAC2B608ADB}">
              <a16:predDERef xmlns:a16="http://schemas.microsoft.com/office/drawing/2014/main" pred="{78860406-061F-4C42-9909-2621068EF378}"/>
            </a:ext>
          </a:extLst>
        </xdr:cNvPr>
        <xdr:cNvSpPr txBox="1"/>
      </xdr:nvSpPr>
      <xdr:spPr>
        <a:xfrm>
          <a:off x="2656114" y="5159830"/>
          <a:ext cx="434702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0">
              <a:solidFill>
                <a:schemeClr val="accent3">
                  <a:lumMod val="25000"/>
                </a:schemeClr>
              </a:solidFill>
            </a:rPr>
            <a:t>* Siūlomi</a:t>
          </a:r>
          <a:r>
            <a:rPr lang="lt-LT" sz="1100" b="0" baseline="0">
              <a:solidFill>
                <a:schemeClr val="accent3">
                  <a:lumMod val="25000"/>
                </a:schemeClr>
              </a:solidFill>
            </a:rPr>
            <a:t> įvesties duomenys.</a:t>
          </a:r>
        </a:p>
        <a:p>
          <a:r>
            <a:rPr lang="lt-LT" sz="1100" b="0" baseline="0">
              <a:solidFill>
                <a:schemeClr val="accent3">
                  <a:lumMod val="25000"/>
                </a:schemeClr>
              </a:solidFill>
            </a:rPr>
            <a:t> Transporto priemonių skaičiaus (vnt.) parke duomenys.</a:t>
          </a:r>
          <a:endParaRPr lang="lt-LT" sz="1100" b="0">
            <a:solidFill>
              <a:schemeClr val="accent3">
                <a:lumMod val="25000"/>
              </a:schemeClr>
            </a:solidFill>
          </a:endParaRPr>
        </a:p>
      </xdr:txBody>
    </xdr:sp>
    <xdr:clientData/>
  </xdr:oneCellAnchor>
  <xdr:oneCellAnchor>
    <xdr:from>
      <xdr:col>18</xdr:col>
      <xdr:colOff>125185</xdr:colOff>
      <xdr:row>204</xdr:row>
      <xdr:rowOff>166010</xdr:rowOff>
    </xdr:from>
    <xdr:ext cx="2027464" cy="781240"/>
    <xdr:sp macro="" textlink="">
      <xdr:nvSpPr>
        <xdr:cNvPr id="27" name="TextBox 18">
          <a:extLst>
            <a:ext uri="{FF2B5EF4-FFF2-40B4-BE49-F238E27FC236}">
              <a16:creationId xmlns:a16="http://schemas.microsoft.com/office/drawing/2014/main" id="{196F1E90-691E-4685-9135-263C8C029E60}"/>
            </a:ext>
            <a:ext uri="{147F2762-F138-4A5C-976F-8EAC2B608ADB}">
              <a16:predDERef xmlns:a16="http://schemas.microsoft.com/office/drawing/2014/main" pred="{B0F2A53F-9034-7542-9096-34B50089C2F8}"/>
            </a:ext>
          </a:extLst>
        </xdr:cNvPr>
        <xdr:cNvSpPr txBox="1"/>
      </xdr:nvSpPr>
      <xdr:spPr>
        <a:xfrm>
          <a:off x="13188042" y="5649689"/>
          <a:ext cx="2027464" cy="78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accent3">
                  <a:lumMod val="25000"/>
                </a:schemeClr>
              </a:solidFill>
            </a:rPr>
            <a:t>TI - teisėkūros iniciatyva;</a:t>
          </a:r>
        </a:p>
        <a:p>
          <a:r>
            <a:rPr lang="lt-LT" sz="1100" baseline="0">
              <a:solidFill>
                <a:schemeClr val="accent3">
                  <a:lumMod val="25000"/>
                </a:schemeClr>
              </a:solidFill>
            </a:rPr>
            <a:t>TP - transporto priemonė;</a:t>
          </a:r>
        </a:p>
        <a:p>
          <a:r>
            <a:rPr lang="lt-LT" sz="1100" baseline="0">
              <a:solidFill>
                <a:schemeClr val="accent3">
                  <a:lumMod val="25000"/>
                </a:schemeClr>
              </a:solidFill>
            </a:rPr>
            <a:t>kt - kilotona;</a:t>
          </a:r>
        </a:p>
        <a:p>
          <a:r>
            <a:rPr lang="lt-LT" sz="1100" baseline="0">
              <a:solidFill>
                <a:schemeClr val="accent3">
                  <a:lumMod val="25000"/>
                </a:schemeClr>
              </a:solidFill>
            </a:rPr>
            <a:t>KD - kietosios dalelės.</a:t>
          </a:r>
          <a:endParaRPr lang="lt-LT" sz="1100">
            <a:solidFill>
              <a:schemeClr val="accent3">
                <a:lumMod val="25000"/>
              </a:schemeClr>
            </a:solidFill>
          </a:endParaRPr>
        </a:p>
      </xdr:txBody>
    </xdr:sp>
    <xdr:clientData/>
  </xdr:oneCellAnchor>
  <xdr:twoCellAnchor>
    <xdr:from>
      <xdr:col>17</xdr:col>
      <xdr:colOff>223156</xdr:colOff>
      <xdr:row>4</xdr:row>
      <xdr:rowOff>88445</xdr:rowOff>
    </xdr:from>
    <xdr:to>
      <xdr:col>25</xdr:col>
      <xdr:colOff>435428</xdr:colOff>
      <xdr:row>15</xdr:row>
      <xdr:rowOff>13607</xdr:rowOff>
    </xdr:to>
    <xdr:graphicFrame macro="">
      <xdr:nvGraphicFramePr>
        <xdr:cNvPr id="33" name="Chart 31">
          <a:extLst>
            <a:ext uri="{FF2B5EF4-FFF2-40B4-BE49-F238E27FC236}">
              <a16:creationId xmlns:a16="http://schemas.microsoft.com/office/drawing/2014/main" id="{453CAED1-D5B7-8087-0A5F-6EF30E8731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547004</xdr:colOff>
      <xdr:row>208</xdr:row>
      <xdr:rowOff>111582</xdr:rowOff>
    </xdr:from>
    <xdr:to>
      <xdr:col>14</xdr:col>
      <xdr:colOff>370113</xdr:colOff>
      <xdr:row>209</xdr:row>
      <xdr:rowOff>166010</xdr:rowOff>
    </xdr:to>
    <xdr:sp macro="" textlink="">
      <xdr:nvSpPr>
        <xdr:cNvPr id="46" name="Rectangle 21">
          <a:extLst>
            <a:ext uri="{FF2B5EF4-FFF2-40B4-BE49-F238E27FC236}">
              <a16:creationId xmlns:a16="http://schemas.microsoft.com/office/drawing/2014/main" id="{6A51926D-218E-44AE-A876-7FB49A723AF6}"/>
            </a:ext>
            <a:ext uri="{147F2762-F138-4A5C-976F-8EAC2B608ADB}">
              <a16:predDERef xmlns:a16="http://schemas.microsoft.com/office/drawing/2014/main" pred="{453CAED1-D5B7-8087-0A5F-6EF30E8731A6}"/>
            </a:ext>
          </a:extLst>
        </xdr:cNvPr>
        <xdr:cNvSpPr/>
      </xdr:nvSpPr>
      <xdr:spPr>
        <a:xfrm>
          <a:off x="10091054" y="6388557"/>
          <a:ext cx="661309" cy="244928"/>
        </a:xfrm>
        <a:prstGeom prst="rect">
          <a:avLst/>
        </a:prstGeom>
        <a:solidFill>
          <a:srgbClr val="FFFFFF"/>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oneCellAnchor>
    <xdr:from>
      <xdr:col>14</xdr:col>
      <xdr:colOff>372836</xdr:colOff>
      <xdr:row>208</xdr:row>
      <xdr:rowOff>84367</xdr:rowOff>
    </xdr:from>
    <xdr:ext cx="2027464" cy="264560"/>
    <xdr:sp macro="" textlink="">
      <xdr:nvSpPr>
        <xdr:cNvPr id="47" name="TextBox 27">
          <a:extLst>
            <a:ext uri="{FF2B5EF4-FFF2-40B4-BE49-F238E27FC236}">
              <a16:creationId xmlns:a16="http://schemas.microsoft.com/office/drawing/2014/main" id="{ADCDC005-F3CD-4570-8835-1858035537D3}"/>
            </a:ext>
          </a:extLst>
        </xdr:cNvPr>
        <xdr:cNvSpPr txBox="1"/>
      </xdr:nvSpPr>
      <xdr:spPr>
        <a:xfrm>
          <a:off x="10795907" y="6384474"/>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accent3">
                  <a:lumMod val="25000"/>
                </a:schemeClr>
              </a:solidFill>
            </a:rPr>
            <a:t>įvestis negalima;</a:t>
          </a:r>
          <a:endParaRPr lang="lt-LT" sz="1100">
            <a:solidFill>
              <a:schemeClr val="accent3">
                <a:lumMod val="25000"/>
              </a:schemeClr>
            </a:solidFill>
          </a:endParaRPr>
        </a:p>
      </xdr:txBody>
    </xdr:sp>
    <xdr:clientData/>
  </xdr:oneCellAnchor>
  <xdr:twoCellAnchor>
    <xdr:from>
      <xdr:col>13</xdr:col>
      <xdr:colOff>549726</xdr:colOff>
      <xdr:row>210</xdr:row>
      <xdr:rowOff>127911</xdr:rowOff>
    </xdr:from>
    <xdr:to>
      <xdr:col>14</xdr:col>
      <xdr:colOff>372835</xdr:colOff>
      <xdr:row>211</xdr:row>
      <xdr:rowOff>182339</xdr:rowOff>
    </xdr:to>
    <xdr:sp macro="" textlink="">
      <xdr:nvSpPr>
        <xdr:cNvPr id="5" name="Rectangle 21">
          <a:extLst>
            <a:ext uri="{FF2B5EF4-FFF2-40B4-BE49-F238E27FC236}">
              <a16:creationId xmlns:a16="http://schemas.microsoft.com/office/drawing/2014/main" id="{DF7414E9-1EF0-49F9-A581-8134B980C278}"/>
            </a:ext>
            <a:ext uri="{147F2762-F138-4A5C-976F-8EAC2B608ADB}">
              <a16:predDERef xmlns:a16="http://schemas.microsoft.com/office/drawing/2014/main" pred="{ADCDC005-F3CD-4570-8835-1858035537D3}"/>
            </a:ext>
          </a:extLst>
        </xdr:cNvPr>
        <xdr:cNvSpPr/>
      </xdr:nvSpPr>
      <xdr:spPr>
        <a:xfrm>
          <a:off x="10093776" y="6785886"/>
          <a:ext cx="661309" cy="244928"/>
        </a:xfrm>
        <a:prstGeom prst="rect">
          <a:avLst/>
        </a:prstGeom>
        <a:solidFill>
          <a:srgbClr val="8FCEA5"/>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rgbClr val="FFFFFF"/>
              </a:solidFill>
            </a:rPr>
            <a:t>-0,01</a:t>
          </a:r>
          <a:endParaRPr lang="lt-LT" sz="1100">
            <a:solidFill>
              <a:srgbClr val="FFFFFF"/>
            </a:solidFill>
          </a:endParaRPr>
        </a:p>
      </xdr:txBody>
    </xdr:sp>
    <xdr:clientData/>
  </xdr:twoCellAnchor>
  <xdr:oneCellAnchor>
    <xdr:from>
      <xdr:col>14</xdr:col>
      <xdr:colOff>375556</xdr:colOff>
      <xdr:row>210</xdr:row>
      <xdr:rowOff>19053</xdr:rowOff>
    </xdr:from>
    <xdr:ext cx="2481943" cy="436786"/>
    <xdr:sp macro="" textlink="">
      <xdr:nvSpPr>
        <xdr:cNvPr id="8" name="TextBox 27">
          <a:extLst>
            <a:ext uri="{FF2B5EF4-FFF2-40B4-BE49-F238E27FC236}">
              <a16:creationId xmlns:a16="http://schemas.microsoft.com/office/drawing/2014/main" id="{86C9C5C0-925D-47C2-8A0E-8EAFC50B0E06}"/>
            </a:ext>
          </a:extLst>
        </xdr:cNvPr>
        <xdr:cNvSpPr txBox="1"/>
      </xdr:nvSpPr>
      <xdr:spPr>
        <a:xfrm>
          <a:off x="10798627" y="6700160"/>
          <a:ext cx="248194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aseline="0">
              <a:solidFill>
                <a:schemeClr val="accent3">
                  <a:lumMod val="25000"/>
                </a:schemeClr>
              </a:solidFill>
            </a:rPr>
            <a:t>TI </a:t>
          </a:r>
          <a:r>
            <a:rPr lang="lt-LT" sz="1100" baseline="0">
              <a:solidFill>
                <a:schemeClr val="accent3">
                  <a:lumMod val="25000"/>
                </a:schemeClr>
              </a:solidFill>
            </a:rPr>
            <a:t> n</a:t>
          </a:r>
          <a:r>
            <a:rPr lang="en-US" sz="1100" baseline="0">
              <a:solidFill>
                <a:schemeClr val="accent3">
                  <a:lumMod val="25000"/>
                </a:schemeClr>
              </a:solidFill>
            </a:rPr>
            <a:t>eigiamas poveikis vir</a:t>
          </a:r>
          <a:r>
            <a:rPr lang="lt-LT" sz="1100" baseline="0">
              <a:solidFill>
                <a:schemeClr val="accent3">
                  <a:lumMod val="25000"/>
                </a:schemeClr>
              </a:solidFill>
            </a:rPr>
            <a:t>šija teisės aktais nustatytas ribines vertes.</a:t>
          </a:r>
          <a:endParaRPr lang="lt-LT" sz="1100">
            <a:solidFill>
              <a:schemeClr val="accent3">
                <a:lumMod val="25000"/>
              </a:schemeClr>
            </a:solidFill>
          </a:endParaRPr>
        </a:p>
      </xdr:txBody>
    </xdr:sp>
    <xdr:clientData/>
  </xdr:oneCellAnchor>
  <xdr:twoCellAnchor>
    <xdr:from>
      <xdr:col>4</xdr:col>
      <xdr:colOff>161472</xdr:colOff>
      <xdr:row>1</xdr:row>
      <xdr:rowOff>109764</xdr:rowOff>
    </xdr:from>
    <xdr:to>
      <xdr:col>15</xdr:col>
      <xdr:colOff>976993</xdr:colOff>
      <xdr:row>3</xdr:row>
      <xdr:rowOff>82550</xdr:rowOff>
    </xdr:to>
    <xdr:sp macro="" textlink="">
      <xdr:nvSpPr>
        <xdr:cNvPr id="12" name="TextBox 5">
          <a:extLst>
            <a:ext uri="{FF2B5EF4-FFF2-40B4-BE49-F238E27FC236}">
              <a16:creationId xmlns:a16="http://schemas.microsoft.com/office/drawing/2014/main" id="{5BA996C2-46A3-4B12-BC63-0D976F9A9A2D}"/>
            </a:ext>
            <a:ext uri="{147F2762-F138-4A5C-976F-8EAC2B608ADB}">
              <a16:predDERef xmlns:a16="http://schemas.microsoft.com/office/drawing/2014/main" pred="{86C9C5C0-925D-47C2-8A0E-8EAFC50B0E06}"/>
            </a:ext>
          </a:extLst>
        </xdr:cNvPr>
        <xdr:cNvSpPr txBox="1"/>
      </xdr:nvSpPr>
      <xdr:spPr>
        <a:xfrm>
          <a:off x="2599872" y="300264"/>
          <a:ext cx="9597571" cy="353786"/>
        </a:xfrm>
        <a:prstGeom prst="rect">
          <a:avLst/>
        </a:prstGeom>
        <a:solidFill>
          <a:schemeClr val="accent5">
            <a:lumMod val="40000"/>
            <a:lumOff val="60000"/>
          </a:schemeClr>
        </a:solidFill>
        <a:ln w="9525" cmpd="sng">
          <a:solidFill>
            <a:schemeClr val="bg1">
              <a:lumMod val="20000"/>
              <a:lumOff val="80000"/>
            </a:scheme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lt-LT" sz="1100" b="1" i="0" u="none" strike="noStrike" kern="0" cap="none" spc="0" normalizeH="0" baseline="0" noProof="0">
              <a:ln>
                <a:noFill/>
              </a:ln>
              <a:solidFill>
                <a:srgbClr val="F4FAF6">
                  <a:lumMod val="25000"/>
                </a:srgbClr>
              </a:solidFill>
              <a:effectLst/>
              <a:uLnTx/>
              <a:uFillTx/>
              <a:latin typeface="+mn-lt"/>
              <a:ea typeface="+mn-ea"/>
              <a:cs typeface="+mn-cs"/>
            </a:rPr>
            <a:t>KELIŲ TRANSPORTO PRIEMONIŲ SKAIČIAUS REGULIAVIMO POVEIKIO VERTINIMO SKAIČIUOKLĖ</a:t>
          </a:r>
        </a:p>
      </xdr:txBody>
    </xdr:sp>
    <xdr:clientData/>
  </xdr:twoCellAnchor>
  <xdr:twoCellAnchor>
    <xdr:from>
      <xdr:col>0</xdr:col>
      <xdr:colOff>323273</xdr:colOff>
      <xdr:row>220</xdr:row>
      <xdr:rowOff>92364</xdr:rowOff>
    </xdr:from>
    <xdr:to>
      <xdr:col>3</xdr:col>
      <xdr:colOff>101092</xdr:colOff>
      <xdr:row>229</xdr:row>
      <xdr:rowOff>51952</xdr:rowOff>
    </xdr:to>
    <xdr:grpSp>
      <xdr:nvGrpSpPr>
        <xdr:cNvPr id="18" name="Grupė 17">
          <a:extLst>
            <a:ext uri="{FF2B5EF4-FFF2-40B4-BE49-F238E27FC236}">
              <a16:creationId xmlns:a16="http://schemas.microsoft.com/office/drawing/2014/main" id="{8B9B471F-B4A2-408C-8313-5D7F8F48F3A2}"/>
            </a:ext>
          </a:extLst>
        </xdr:cNvPr>
        <xdr:cNvGrpSpPr/>
      </xdr:nvGrpSpPr>
      <xdr:grpSpPr>
        <a:xfrm>
          <a:off x="323273" y="8664864"/>
          <a:ext cx="1614783" cy="1674088"/>
          <a:chOff x="396875" y="8016875"/>
          <a:chExt cx="1717455" cy="1622134"/>
        </a:xfrm>
      </xdr:grpSpPr>
      <xdr:sp macro="" textlink="">
        <xdr:nvSpPr>
          <xdr:cNvPr id="20" name="TextBox 19">
            <a:hlinkClick xmlns:r="http://schemas.openxmlformats.org/officeDocument/2006/relationships" r:id="rId7"/>
            <a:extLst>
              <a:ext uri="{FF2B5EF4-FFF2-40B4-BE49-F238E27FC236}">
                <a16:creationId xmlns:a16="http://schemas.microsoft.com/office/drawing/2014/main" id="{B11D3D02-C36F-32F0-A175-4C0633273091}"/>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21" name="Paveikslėlis 20">
            <a:extLst>
              <a:ext uri="{FF2B5EF4-FFF2-40B4-BE49-F238E27FC236}">
                <a16:creationId xmlns:a16="http://schemas.microsoft.com/office/drawing/2014/main" id="{C99308C7-2DC3-AD35-50C7-CDD45FCB348A}"/>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twoCellAnchor>
    <xdr:from>
      <xdr:col>0</xdr:col>
      <xdr:colOff>353788</xdr:colOff>
      <xdr:row>6</xdr:row>
      <xdr:rowOff>244926</xdr:rowOff>
    </xdr:from>
    <xdr:to>
      <xdr:col>3</xdr:col>
      <xdr:colOff>4174</xdr:colOff>
      <xdr:row>7</xdr:row>
      <xdr:rowOff>175712</xdr:rowOff>
    </xdr:to>
    <xdr:pic>
      <xdr:nvPicPr>
        <xdr:cNvPr id="15" name="Picture 69">
          <a:hlinkClick xmlns:r="http://schemas.openxmlformats.org/officeDocument/2006/relationships" r:id="rId9"/>
          <a:extLst>
            <a:ext uri="{FF2B5EF4-FFF2-40B4-BE49-F238E27FC236}">
              <a16:creationId xmlns:a16="http://schemas.microsoft.com/office/drawing/2014/main" id="{0C261CA6-E9B9-42C2-A19C-E22AED57C6F7}"/>
            </a:ext>
          </a:extLst>
        </xdr:cNvPr>
        <xdr:cNvPicPr>
          <a:picLocks noChangeAspect="1"/>
        </xdr:cNvPicPr>
      </xdr:nvPicPr>
      <xdr:blipFill>
        <a:blip xmlns:r="http://schemas.openxmlformats.org/officeDocument/2006/relationships" r:embed="rId10">
          <a:duotone>
            <a:schemeClr val="accent4">
              <a:shade val="45000"/>
              <a:satMod val="135000"/>
            </a:schemeClr>
            <a:prstClr val="white"/>
          </a:duotone>
        </a:blip>
        <a:stretch>
          <a:fillRect/>
        </a:stretch>
      </xdr:blipFill>
      <xdr:spPr>
        <a:xfrm>
          <a:off x="353788" y="1551212"/>
          <a:ext cx="1487350" cy="720000"/>
        </a:xfrm>
        <a:prstGeom prst="rect">
          <a:avLst/>
        </a:prstGeom>
      </xdr:spPr>
    </xdr:pic>
    <xdr:clientData/>
  </xdr:twoCellAnchor>
  <xdr:twoCellAnchor editAs="oneCell">
    <xdr:from>
      <xdr:col>0</xdr:col>
      <xdr:colOff>353786</xdr:colOff>
      <xdr:row>7</xdr:row>
      <xdr:rowOff>408212</xdr:rowOff>
    </xdr:from>
    <xdr:to>
      <xdr:col>2</xdr:col>
      <xdr:colOff>607787</xdr:colOff>
      <xdr:row>9</xdr:row>
      <xdr:rowOff>189319</xdr:rowOff>
    </xdr:to>
    <xdr:pic>
      <xdr:nvPicPr>
        <xdr:cNvPr id="16" name="Picture 15">
          <a:hlinkClick xmlns:r="http://schemas.openxmlformats.org/officeDocument/2006/relationships" r:id="rId11"/>
          <a:extLst>
            <a:ext uri="{FF2B5EF4-FFF2-40B4-BE49-F238E27FC236}">
              <a16:creationId xmlns:a16="http://schemas.microsoft.com/office/drawing/2014/main" id="{11B1B7A3-1FA8-4493-905F-9E877323DFBB}"/>
            </a:ext>
          </a:extLst>
        </xdr:cNvPr>
        <xdr:cNvPicPr>
          <a:picLocks noChangeAspect="1"/>
        </xdr:cNvPicPr>
      </xdr:nvPicPr>
      <xdr:blipFill>
        <a:blip xmlns:r="http://schemas.openxmlformats.org/officeDocument/2006/relationships" r:embed="rId12">
          <a:duotone>
            <a:schemeClr val="accent4">
              <a:shade val="45000"/>
              <a:satMod val="135000"/>
            </a:schemeClr>
            <a:prstClr val="white"/>
          </a:duotone>
          <a:extLst>
            <a:ext uri="{BEBA8EAE-BF5A-486C-A8C5-ECC9F3942E4B}">
              <a14:imgProps xmlns:a14="http://schemas.microsoft.com/office/drawing/2010/main">
                <a14:imgLayer r:embed="rId13">
                  <a14:imgEffect>
                    <a14:colorTemperature colorTemp="4700"/>
                  </a14:imgEffect>
                  <a14:imgEffect>
                    <a14:saturation sat="0"/>
                  </a14:imgEffect>
                </a14:imgLayer>
              </a14:imgProps>
            </a:ext>
          </a:extLst>
        </a:blip>
        <a:stretch>
          <a:fillRect/>
        </a:stretch>
      </xdr:blipFill>
      <xdr:spPr>
        <a:xfrm>
          <a:off x="353786" y="2503712"/>
          <a:ext cx="1478644" cy="720000"/>
        </a:xfrm>
        <a:prstGeom prst="rect">
          <a:avLst/>
        </a:prstGeom>
      </xdr:spPr>
    </xdr:pic>
    <xdr:clientData/>
  </xdr:twoCellAnchor>
  <xdr:twoCellAnchor editAs="oneCell">
    <xdr:from>
      <xdr:col>0</xdr:col>
      <xdr:colOff>353789</xdr:colOff>
      <xdr:row>11</xdr:row>
      <xdr:rowOff>40819</xdr:rowOff>
    </xdr:from>
    <xdr:to>
      <xdr:col>3</xdr:col>
      <xdr:colOff>2</xdr:colOff>
      <xdr:row>13</xdr:row>
      <xdr:rowOff>243748</xdr:rowOff>
    </xdr:to>
    <xdr:pic>
      <xdr:nvPicPr>
        <xdr:cNvPr id="26" name="Picture 22">
          <a:extLst>
            <a:ext uri="{FF2B5EF4-FFF2-40B4-BE49-F238E27FC236}">
              <a16:creationId xmlns:a16="http://schemas.microsoft.com/office/drawing/2014/main" id="{B3F1785E-8F98-44DE-B308-C045E9B0D360}"/>
            </a:ext>
            <a:ext uri="{147F2762-F138-4A5C-976F-8EAC2B608ADB}">
              <a16:predDERef xmlns:a16="http://schemas.microsoft.com/office/drawing/2014/main" pred="{61DE37D9-3D4A-4198-A26C-6D5CC309499C}"/>
            </a:ext>
          </a:extLst>
        </xdr:cNvPr>
        <xdr:cNvPicPr>
          <a:picLocks noChangeAspect="1"/>
        </xdr:cNvPicPr>
      </xdr:nvPicPr>
      <xdr:blipFill>
        <a:blip xmlns:r="http://schemas.openxmlformats.org/officeDocument/2006/relationships" r:embed="rId14">
          <a:extLst>
            <a:ext uri="{BEBA8EAE-BF5A-486C-A8C5-ECC9F3942E4B}">
              <a14:imgProps xmlns:a14="http://schemas.microsoft.com/office/drawing/2010/main">
                <a14:imgLayer r:embed="rId15">
                  <a14:imgEffect>
                    <a14:colorTemperature colorTemp="5900"/>
                  </a14:imgEffect>
                  <a14:imgEffect>
                    <a14:saturation sat="66000"/>
                  </a14:imgEffect>
                </a14:imgLayer>
              </a14:imgProps>
            </a:ext>
          </a:extLst>
        </a:blip>
        <a:stretch>
          <a:fillRect/>
        </a:stretch>
      </xdr:blipFill>
      <xdr:spPr>
        <a:xfrm>
          <a:off x="353789" y="3456212"/>
          <a:ext cx="1483177" cy="720000"/>
        </a:xfrm>
        <a:prstGeom prst="rect">
          <a:avLst/>
        </a:prstGeom>
      </xdr:spPr>
    </xdr:pic>
    <xdr:clientData/>
  </xdr:twoCellAnchor>
  <xdr:twoCellAnchor>
    <xdr:from>
      <xdr:col>0</xdr:col>
      <xdr:colOff>353788</xdr:colOff>
      <xdr:row>14</xdr:row>
      <xdr:rowOff>217712</xdr:rowOff>
    </xdr:from>
    <xdr:to>
      <xdr:col>3</xdr:col>
      <xdr:colOff>2</xdr:colOff>
      <xdr:row>202</xdr:row>
      <xdr:rowOff>27214</xdr:rowOff>
    </xdr:to>
    <xdr:pic>
      <xdr:nvPicPr>
        <xdr:cNvPr id="30" name="Picture 72">
          <a:hlinkClick xmlns:r="http://schemas.openxmlformats.org/officeDocument/2006/relationships" r:id="rId16"/>
          <a:extLst>
            <a:ext uri="{FF2B5EF4-FFF2-40B4-BE49-F238E27FC236}">
              <a16:creationId xmlns:a16="http://schemas.microsoft.com/office/drawing/2014/main" id="{984B98DD-C380-4C30-9BD7-F66BD5B611DF}"/>
            </a:ext>
            <a:ext uri="{147F2762-F138-4A5C-976F-8EAC2B608ADB}">
              <a16:predDERef xmlns:a16="http://schemas.microsoft.com/office/drawing/2014/main" pred="{5604FE76-7367-4A49-AA8D-ABED8B1C04F0}"/>
            </a:ext>
          </a:extLst>
        </xdr:cNvPr>
        <xdr:cNvPicPr>
          <a:picLocks noChangeAspect="1"/>
        </xdr:cNvPicPr>
      </xdr:nvPicPr>
      <xdr:blipFill>
        <a:blip xmlns:r="http://schemas.openxmlformats.org/officeDocument/2006/relationships" r:embed="rId17">
          <a:duotone>
            <a:schemeClr val="accent4">
              <a:shade val="45000"/>
              <a:satMod val="135000"/>
            </a:schemeClr>
            <a:prstClr val="white"/>
          </a:duotone>
        </a:blip>
        <a:stretch>
          <a:fillRect/>
        </a:stretch>
      </xdr:blipFill>
      <xdr:spPr>
        <a:xfrm>
          <a:off x="353788" y="4408712"/>
          <a:ext cx="1483178" cy="707573"/>
        </a:xfrm>
        <a:prstGeom prst="rect">
          <a:avLst/>
        </a:prstGeom>
      </xdr:spPr>
    </xdr:pic>
    <xdr:clientData/>
  </xdr:twoCellAnchor>
  <xdr:twoCellAnchor>
    <xdr:from>
      <xdr:col>0</xdr:col>
      <xdr:colOff>367392</xdr:colOff>
      <xdr:row>2</xdr:row>
      <xdr:rowOff>13607</xdr:rowOff>
    </xdr:from>
    <xdr:to>
      <xdr:col>2</xdr:col>
      <xdr:colOff>537053</xdr:colOff>
      <xdr:row>5</xdr:row>
      <xdr:rowOff>27191</xdr:rowOff>
    </xdr:to>
    <xdr:pic>
      <xdr:nvPicPr>
        <xdr:cNvPr id="31" name="Paveikslėlis 2">
          <a:extLst>
            <a:ext uri="{FF2B5EF4-FFF2-40B4-BE49-F238E27FC236}">
              <a16:creationId xmlns:a16="http://schemas.microsoft.com/office/drawing/2014/main" id="{D7442F7C-14E4-4174-B561-869E58E5C470}"/>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67392" y="394607"/>
          <a:ext cx="1394304" cy="598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122464</xdr:colOff>
      <xdr:row>0</xdr:row>
      <xdr:rowOff>136071</xdr:rowOff>
    </xdr:from>
    <xdr:ext cx="1932215" cy="13680621"/>
    <xdr:pic>
      <xdr:nvPicPr>
        <xdr:cNvPr id="26" name="Picture 25">
          <a:extLst>
            <a:ext uri="{FF2B5EF4-FFF2-40B4-BE49-F238E27FC236}">
              <a16:creationId xmlns:a16="http://schemas.microsoft.com/office/drawing/2014/main" id="{8D1EB58F-EFB0-4B4E-945B-069162060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136071"/>
          <a:ext cx="1932215" cy="136806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370795</xdr:colOff>
      <xdr:row>2</xdr:row>
      <xdr:rowOff>17006</xdr:rowOff>
    </xdr:from>
    <xdr:to>
      <xdr:col>2</xdr:col>
      <xdr:colOff>535013</xdr:colOff>
      <xdr:row>5</xdr:row>
      <xdr:rowOff>44197</xdr:rowOff>
    </xdr:to>
    <xdr:pic>
      <xdr:nvPicPr>
        <xdr:cNvPr id="27" name="Paveikslėlis 2">
          <a:extLst>
            <a:ext uri="{FF2B5EF4-FFF2-40B4-BE49-F238E27FC236}">
              <a16:creationId xmlns:a16="http://schemas.microsoft.com/office/drawing/2014/main" id="{D94362C1-7F2B-4631-9345-D36D370EDF13}"/>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0795" y="398006"/>
          <a:ext cx="1388861" cy="598691"/>
        </a:xfrm>
        <a:prstGeom prst="rect">
          <a:avLst/>
        </a:prstGeom>
      </xdr:spPr>
    </xdr:pic>
    <xdr:clientData/>
  </xdr:twoCellAnchor>
  <xdr:twoCellAnchor>
    <xdr:from>
      <xdr:col>0</xdr:col>
      <xdr:colOff>563788</xdr:colOff>
      <xdr:row>38</xdr:row>
      <xdr:rowOff>86557</xdr:rowOff>
    </xdr:from>
    <xdr:to>
      <xdr:col>3</xdr:col>
      <xdr:colOff>64609</xdr:colOff>
      <xdr:row>41</xdr:row>
      <xdr:rowOff>54074</xdr:rowOff>
    </xdr:to>
    <xdr:sp macro="" textlink="">
      <xdr:nvSpPr>
        <xdr:cNvPr id="29" name="TextBox 28">
          <a:extLst>
            <a:ext uri="{FF2B5EF4-FFF2-40B4-BE49-F238E27FC236}">
              <a16:creationId xmlns:a16="http://schemas.microsoft.com/office/drawing/2014/main" id="{E9B69222-8794-47B0-A624-EDA37CF72063}"/>
            </a:ext>
          </a:extLst>
        </xdr:cNvPr>
        <xdr:cNvSpPr txBox="1"/>
      </xdr:nvSpPr>
      <xdr:spPr>
        <a:xfrm>
          <a:off x="563788" y="7325557"/>
          <a:ext cx="1337785" cy="53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oneCellAnchor>
    <xdr:from>
      <xdr:col>1</xdr:col>
      <xdr:colOff>309562</xdr:colOff>
      <xdr:row>35</xdr:row>
      <xdr:rowOff>141170</xdr:rowOff>
    </xdr:from>
    <xdr:ext cx="354857" cy="428190"/>
    <xdr:pic>
      <xdr:nvPicPr>
        <xdr:cNvPr id="31" name="Grafinis elementas 27" descr="Receiver outline">
          <a:extLst>
            <a:ext uri="{FF2B5EF4-FFF2-40B4-BE49-F238E27FC236}">
              <a16:creationId xmlns:a16="http://schemas.microsoft.com/office/drawing/2014/main" id="{F7CB124F-DFA6-4BB7-A7B3-3DE8427F3BF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21883" y="6808670"/>
          <a:ext cx="354857" cy="428190"/>
        </a:xfrm>
        <a:prstGeom prst="rect">
          <a:avLst/>
        </a:prstGeom>
      </xdr:spPr>
    </xdr:pic>
    <xdr:clientData/>
  </xdr:oneCellAnchor>
  <xdr:twoCellAnchor>
    <xdr:from>
      <xdr:col>0</xdr:col>
      <xdr:colOff>585108</xdr:colOff>
      <xdr:row>31</xdr:row>
      <xdr:rowOff>95249</xdr:rowOff>
    </xdr:from>
    <xdr:to>
      <xdr:col>3</xdr:col>
      <xdr:colOff>80825</xdr:colOff>
      <xdr:row>32</xdr:row>
      <xdr:rowOff>182137</xdr:rowOff>
    </xdr:to>
    <xdr:sp macro="" textlink="">
      <xdr:nvSpPr>
        <xdr:cNvPr id="37" name="TextBox 36">
          <a:extLst>
            <a:ext uri="{FF2B5EF4-FFF2-40B4-BE49-F238E27FC236}">
              <a16:creationId xmlns:a16="http://schemas.microsoft.com/office/drawing/2014/main" id="{BD601478-65A0-47EE-8124-45F77AE1CD06}"/>
            </a:ext>
          </a:extLst>
        </xdr:cNvPr>
        <xdr:cNvSpPr txBox="1"/>
      </xdr:nvSpPr>
      <xdr:spPr>
        <a:xfrm>
          <a:off x="585108" y="6000749"/>
          <a:ext cx="1332681" cy="277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5</xdr:col>
      <xdr:colOff>9071</xdr:colOff>
      <xdr:row>1</xdr:row>
      <xdr:rowOff>90714</xdr:rowOff>
    </xdr:from>
    <xdr:to>
      <xdr:col>9</xdr:col>
      <xdr:colOff>9605</xdr:colOff>
      <xdr:row>3</xdr:row>
      <xdr:rowOff>83799</xdr:rowOff>
    </xdr:to>
    <xdr:sp macro="" textlink="">
      <xdr:nvSpPr>
        <xdr:cNvPr id="2" name="TextBox 1">
          <a:extLst>
            <a:ext uri="{FF2B5EF4-FFF2-40B4-BE49-F238E27FC236}">
              <a16:creationId xmlns:a16="http://schemas.microsoft.com/office/drawing/2014/main" id="{02DCC3AF-E635-437E-B6B6-D7D1D9114D3C}"/>
            </a:ext>
          </a:extLst>
        </xdr:cNvPr>
        <xdr:cNvSpPr txBox="1"/>
      </xdr:nvSpPr>
      <xdr:spPr>
        <a:xfrm>
          <a:off x="2766785" y="272143"/>
          <a:ext cx="7448177" cy="355942"/>
        </a:xfrm>
        <a:prstGeom prst="rect">
          <a:avLst/>
        </a:prstGeom>
        <a:solidFill>
          <a:schemeClr val="accent5">
            <a:lumMod val="40000"/>
            <a:lumOff val="60000"/>
          </a:schemeClr>
        </a:solidFill>
        <a:ln w="9525" cmpd="sng">
          <a:solidFill>
            <a:schemeClr val="bg1">
              <a:lumMod val="20000"/>
              <a:lumOff val="80000"/>
            </a:scheme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lt-LT" sz="1100" b="1" i="0" u="none" strike="noStrike" kern="0" cap="none" spc="0" normalizeH="0" baseline="0" noProof="0">
              <a:ln>
                <a:noFill/>
              </a:ln>
              <a:solidFill>
                <a:srgbClr val="F4FAF6">
                  <a:lumMod val="25000"/>
                </a:srgbClr>
              </a:solidFill>
              <a:effectLst/>
              <a:uLnTx/>
              <a:uFillTx/>
              <a:latin typeface="+mn-lt"/>
              <a:ea typeface="+mn-ea"/>
              <a:cs typeface="+mn-cs"/>
            </a:rPr>
            <a:t>SKAIČIUOKLĖS ATNAUJINIMO ISTORIJA</a:t>
          </a:r>
        </a:p>
      </xdr:txBody>
    </xdr:sp>
    <xdr:clientData/>
  </xdr:twoCellAnchor>
  <xdr:twoCellAnchor>
    <xdr:from>
      <xdr:col>0</xdr:col>
      <xdr:colOff>344714</xdr:colOff>
      <xdr:row>43</xdr:row>
      <xdr:rowOff>63500</xdr:rowOff>
    </xdr:from>
    <xdr:to>
      <xdr:col>3</xdr:col>
      <xdr:colOff>129955</xdr:colOff>
      <xdr:row>52</xdr:row>
      <xdr:rowOff>52777</xdr:rowOff>
    </xdr:to>
    <xdr:grpSp>
      <xdr:nvGrpSpPr>
        <xdr:cNvPr id="8" name="Grupė 7">
          <a:extLst>
            <a:ext uri="{FF2B5EF4-FFF2-40B4-BE49-F238E27FC236}">
              <a16:creationId xmlns:a16="http://schemas.microsoft.com/office/drawing/2014/main" id="{5EE66638-3A54-4B3F-836D-D271D5DE83C6}"/>
            </a:ext>
          </a:extLst>
        </xdr:cNvPr>
        <xdr:cNvGrpSpPr/>
      </xdr:nvGrpSpPr>
      <xdr:grpSpPr>
        <a:xfrm>
          <a:off x="344714" y="8255000"/>
          <a:ext cx="1622205" cy="1703777"/>
          <a:chOff x="396875" y="8016875"/>
          <a:chExt cx="1717455" cy="1622134"/>
        </a:xfrm>
      </xdr:grpSpPr>
      <xdr:sp macro="" textlink="">
        <xdr:nvSpPr>
          <xdr:cNvPr id="9" name="TextBox 8">
            <a:hlinkClick xmlns:r="http://schemas.openxmlformats.org/officeDocument/2006/relationships" r:id="rId5"/>
            <a:extLst>
              <a:ext uri="{FF2B5EF4-FFF2-40B4-BE49-F238E27FC236}">
                <a16:creationId xmlns:a16="http://schemas.microsoft.com/office/drawing/2014/main" id="{5F280018-C6DF-57E3-AC90-C08A19A39390}"/>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10" name="Paveikslėlis 9">
            <a:extLst>
              <a:ext uri="{FF2B5EF4-FFF2-40B4-BE49-F238E27FC236}">
                <a16:creationId xmlns:a16="http://schemas.microsoft.com/office/drawing/2014/main" id="{982B8261-2F18-A7EF-F5B4-F2BED08DA4DB}"/>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twoCellAnchor>
    <xdr:from>
      <xdr:col>0</xdr:col>
      <xdr:colOff>356509</xdr:colOff>
      <xdr:row>8</xdr:row>
      <xdr:rowOff>27214</xdr:rowOff>
    </xdr:from>
    <xdr:to>
      <xdr:col>3</xdr:col>
      <xdr:colOff>6893</xdr:colOff>
      <xdr:row>11</xdr:row>
      <xdr:rowOff>175714</xdr:rowOff>
    </xdr:to>
    <xdr:pic>
      <xdr:nvPicPr>
        <xdr:cNvPr id="4" name="Picture 69">
          <a:hlinkClick xmlns:r="http://schemas.openxmlformats.org/officeDocument/2006/relationships" r:id="rId7"/>
          <a:extLst>
            <a:ext uri="{FF2B5EF4-FFF2-40B4-BE49-F238E27FC236}">
              <a16:creationId xmlns:a16="http://schemas.microsoft.com/office/drawing/2014/main" id="{B87E5F19-6E60-45F8-AA1F-9B5AE3207826}"/>
            </a:ext>
          </a:extLst>
        </xdr:cNvPr>
        <xdr:cNvPicPr>
          <a:picLocks noChangeAspect="1"/>
        </xdr:cNvPicPr>
      </xdr:nvPicPr>
      <xdr:blipFill>
        <a:blip xmlns:r="http://schemas.openxmlformats.org/officeDocument/2006/relationships" r:embed="rId8">
          <a:duotone>
            <a:schemeClr val="accent4">
              <a:shade val="45000"/>
              <a:satMod val="135000"/>
            </a:schemeClr>
            <a:prstClr val="white"/>
          </a:duotone>
        </a:blip>
        <a:stretch>
          <a:fillRect/>
        </a:stretch>
      </xdr:blipFill>
      <xdr:spPr>
        <a:xfrm>
          <a:off x="356509" y="1551214"/>
          <a:ext cx="1487348" cy="720000"/>
        </a:xfrm>
        <a:prstGeom prst="rect">
          <a:avLst/>
        </a:prstGeom>
      </xdr:spPr>
    </xdr:pic>
    <xdr:clientData/>
  </xdr:twoCellAnchor>
  <xdr:twoCellAnchor editAs="oneCell">
    <xdr:from>
      <xdr:col>0</xdr:col>
      <xdr:colOff>356510</xdr:colOff>
      <xdr:row>13</xdr:row>
      <xdr:rowOff>27215</xdr:rowOff>
    </xdr:from>
    <xdr:to>
      <xdr:col>3</xdr:col>
      <xdr:colOff>10888</xdr:colOff>
      <xdr:row>16</xdr:row>
      <xdr:rowOff>175715</xdr:rowOff>
    </xdr:to>
    <xdr:pic>
      <xdr:nvPicPr>
        <xdr:cNvPr id="5" name="Picture 4">
          <a:hlinkClick xmlns:r="http://schemas.openxmlformats.org/officeDocument/2006/relationships" r:id="rId9"/>
          <a:extLst>
            <a:ext uri="{FF2B5EF4-FFF2-40B4-BE49-F238E27FC236}">
              <a16:creationId xmlns:a16="http://schemas.microsoft.com/office/drawing/2014/main" id="{22F9B6ED-B72F-42DB-8064-0F2746D2E895}"/>
            </a:ext>
          </a:extLst>
        </xdr:cNvPr>
        <xdr:cNvPicPr>
          <a:picLocks noChangeAspect="1"/>
        </xdr:cNvPicPr>
      </xdr:nvPicPr>
      <xdr:blipFill>
        <a:blip xmlns:r="http://schemas.openxmlformats.org/officeDocument/2006/relationships" r:embed="rId10">
          <a:duotone>
            <a:schemeClr val="accent4">
              <a:shade val="45000"/>
              <a:satMod val="135000"/>
            </a:schemeClr>
            <a:prstClr val="white"/>
          </a:duotone>
        </a:blip>
        <a:stretch>
          <a:fillRect/>
        </a:stretch>
      </xdr:blipFill>
      <xdr:spPr>
        <a:xfrm>
          <a:off x="356510" y="2503715"/>
          <a:ext cx="1491342" cy="720000"/>
        </a:xfrm>
        <a:prstGeom prst="rect">
          <a:avLst/>
        </a:prstGeom>
      </xdr:spPr>
    </xdr:pic>
    <xdr:clientData/>
  </xdr:twoCellAnchor>
  <xdr:twoCellAnchor>
    <xdr:from>
      <xdr:col>0</xdr:col>
      <xdr:colOff>359230</xdr:colOff>
      <xdr:row>18</xdr:row>
      <xdr:rowOff>27215</xdr:rowOff>
    </xdr:from>
    <xdr:to>
      <xdr:col>3</xdr:col>
      <xdr:colOff>10888</xdr:colOff>
      <xdr:row>21</xdr:row>
      <xdr:rowOff>175715</xdr:rowOff>
    </xdr:to>
    <xdr:pic>
      <xdr:nvPicPr>
        <xdr:cNvPr id="6" name="Picture 5">
          <a:hlinkClick xmlns:r="http://schemas.openxmlformats.org/officeDocument/2006/relationships" r:id="rId11"/>
          <a:extLst>
            <a:ext uri="{FF2B5EF4-FFF2-40B4-BE49-F238E27FC236}">
              <a16:creationId xmlns:a16="http://schemas.microsoft.com/office/drawing/2014/main" id="{53DB5B78-CD08-483F-BEC0-0023F7C1C670}"/>
            </a:ext>
          </a:extLst>
        </xdr:cNvPr>
        <xdr:cNvPicPr>
          <a:picLocks noChangeAspect="1"/>
        </xdr:cNvPicPr>
      </xdr:nvPicPr>
      <xdr:blipFill>
        <a:blip xmlns:r="http://schemas.openxmlformats.org/officeDocument/2006/relationships" r:embed="rId12">
          <a:duotone>
            <a:schemeClr val="accent4">
              <a:shade val="45000"/>
              <a:satMod val="135000"/>
            </a:schemeClr>
            <a:prstClr val="white"/>
          </a:duotone>
        </a:blip>
        <a:stretch>
          <a:fillRect/>
        </a:stretch>
      </xdr:blipFill>
      <xdr:spPr>
        <a:xfrm>
          <a:off x="359230" y="3456215"/>
          <a:ext cx="1488622" cy="720000"/>
        </a:xfrm>
        <a:prstGeom prst="rect">
          <a:avLst/>
        </a:prstGeom>
      </xdr:spPr>
    </xdr:pic>
    <xdr:clientData/>
  </xdr:twoCellAnchor>
  <xdr:twoCellAnchor editAs="oneCell">
    <xdr:from>
      <xdr:col>0</xdr:col>
      <xdr:colOff>353787</xdr:colOff>
      <xdr:row>23</xdr:row>
      <xdr:rowOff>27215</xdr:rowOff>
    </xdr:from>
    <xdr:to>
      <xdr:col>3</xdr:col>
      <xdr:colOff>10888</xdr:colOff>
      <xdr:row>26</xdr:row>
      <xdr:rowOff>175715</xdr:rowOff>
    </xdr:to>
    <xdr:pic>
      <xdr:nvPicPr>
        <xdr:cNvPr id="7" name="Picture 6">
          <a:extLst>
            <a:ext uri="{FF2B5EF4-FFF2-40B4-BE49-F238E27FC236}">
              <a16:creationId xmlns:a16="http://schemas.microsoft.com/office/drawing/2014/main" id="{376AD809-F301-471B-B60E-2334473ED06E}"/>
            </a:ext>
          </a:extLst>
        </xdr:cNvPr>
        <xdr:cNvPicPr>
          <a:picLocks noChangeAspect="1"/>
        </xdr:cNvPicPr>
      </xdr:nvPicPr>
      <xdr:blipFill>
        <a:blip xmlns:r="http://schemas.openxmlformats.org/officeDocument/2006/relationships" r:embed="rId13">
          <a:extLst>
            <a:ext uri="{BEBA8EAE-BF5A-486C-A8C5-ECC9F3942E4B}">
              <a14:imgProps xmlns:a14="http://schemas.microsoft.com/office/drawing/2010/main">
                <a14:imgLayer r:embed="rId14">
                  <a14:imgEffect>
                    <a14:colorTemperature colorTemp="5900"/>
                  </a14:imgEffect>
                  <a14:imgEffect>
                    <a14:saturation sat="66000"/>
                  </a14:imgEffect>
                </a14:imgLayer>
              </a14:imgProps>
            </a:ext>
          </a:extLst>
        </a:blip>
        <a:stretch>
          <a:fillRect/>
        </a:stretch>
      </xdr:blipFill>
      <xdr:spPr>
        <a:xfrm>
          <a:off x="353787" y="4408715"/>
          <a:ext cx="1494065" cy="720000"/>
        </a:xfrm>
        <a:prstGeom prst="rect">
          <a:avLst/>
        </a:prstGeom>
      </xdr:spPr>
    </xdr:pic>
    <xdr:clientData/>
  </xdr:twoCellAnchor>
  <xdr:twoCellAnchor>
    <xdr:from>
      <xdr:col>1</xdr:col>
      <xdr:colOff>190500</xdr:colOff>
      <xdr:row>29</xdr:row>
      <xdr:rowOff>27216</xdr:rowOff>
    </xdr:from>
    <xdr:to>
      <xdr:col>2</xdr:col>
      <xdr:colOff>98721</xdr:colOff>
      <xdr:row>31</xdr:row>
      <xdr:rowOff>76193</xdr:rowOff>
    </xdr:to>
    <xdr:pic>
      <xdr:nvPicPr>
        <xdr:cNvPr id="11" name="Grafinis elementas 10" descr="Envelope outline">
          <a:extLst>
            <a:ext uri="{FF2B5EF4-FFF2-40B4-BE49-F238E27FC236}">
              <a16:creationId xmlns:a16="http://schemas.microsoft.com/office/drawing/2014/main" id="{7AC02CED-6E55-48E6-A539-E0AB1B4C758C}"/>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802821" y="5551716"/>
          <a:ext cx="520543" cy="4299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40822</xdr:colOff>
      <xdr:row>0</xdr:row>
      <xdr:rowOff>176893</xdr:rowOff>
    </xdr:from>
    <xdr:to>
      <xdr:col>5</xdr:col>
      <xdr:colOff>210483</xdr:colOff>
      <xdr:row>4</xdr:row>
      <xdr:rowOff>13584</xdr:rowOff>
    </xdr:to>
    <xdr:pic>
      <xdr:nvPicPr>
        <xdr:cNvPr id="2" name="Paveikslėlis 2">
          <a:extLst>
            <a:ext uri="{FF2B5EF4-FFF2-40B4-BE49-F238E27FC236}">
              <a16:creationId xmlns:a16="http://schemas.microsoft.com/office/drawing/2014/main" id="{053B7123-DF6F-4224-A049-0C883C76E58C}"/>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7786" y="176893"/>
          <a:ext cx="1394304" cy="598691"/>
        </a:xfrm>
        <a:prstGeom prst="rect">
          <a:avLst/>
        </a:prstGeom>
      </xdr:spPr>
    </xdr:pic>
    <xdr:clientData/>
  </xdr:twoCellAnchor>
  <xdr:twoCellAnchor editAs="oneCell">
    <xdr:from>
      <xdr:col>3</xdr:col>
      <xdr:colOff>0</xdr:colOff>
      <xdr:row>6</xdr:row>
      <xdr:rowOff>0</xdr:rowOff>
    </xdr:from>
    <xdr:to>
      <xdr:col>5</xdr:col>
      <xdr:colOff>256813</xdr:colOff>
      <xdr:row>9</xdr:row>
      <xdr:rowOff>147890</xdr:rowOff>
    </xdr:to>
    <xdr:pic>
      <xdr:nvPicPr>
        <xdr:cNvPr id="8" name="Picture 7">
          <a:extLst>
            <a:ext uri="{FF2B5EF4-FFF2-40B4-BE49-F238E27FC236}">
              <a16:creationId xmlns:a16="http://schemas.microsoft.com/office/drawing/2014/main" id="{26F50E43-A469-CC4A-9077-1D3BBC182EC5}"/>
            </a:ext>
          </a:extLst>
        </xdr:cNvPr>
        <xdr:cNvPicPr>
          <a:picLocks noChangeAspect="1"/>
        </xdr:cNvPicPr>
      </xdr:nvPicPr>
      <xdr:blipFill>
        <a:blip xmlns:r="http://schemas.openxmlformats.org/officeDocument/2006/relationships" r:embed="rId2"/>
        <a:stretch>
          <a:fillRect/>
        </a:stretch>
      </xdr:blipFill>
      <xdr:spPr>
        <a:xfrm>
          <a:off x="1836964" y="1143000"/>
          <a:ext cx="1481456" cy="719390"/>
        </a:xfrm>
        <a:prstGeom prst="rect">
          <a:avLst/>
        </a:prstGeom>
      </xdr:spPr>
    </xdr:pic>
    <xdr:clientData/>
  </xdr:twoCellAnchor>
  <xdr:twoCellAnchor editAs="oneCell">
    <xdr:from>
      <xdr:col>3</xdr:col>
      <xdr:colOff>1</xdr:colOff>
      <xdr:row>11</xdr:row>
      <xdr:rowOff>0</xdr:rowOff>
    </xdr:from>
    <xdr:to>
      <xdr:col>5</xdr:col>
      <xdr:colOff>257175</xdr:colOff>
      <xdr:row>14</xdr:row>
      <xdr:rowOff>148500</xdr:rowOff>
    </xdr:to>
    <xdr:pic>
      <xdr:nvPicPr>
        <xdr:cNvPr id="9" name="Picture 29">
          <a:hlinkClick xmlns:r="http://schemas.openxmlformats.org/officeDocument/2006/relationships" r:id="rId3"/>
          <a:extLst>
            <a:ext uri="{FF2B5EF4-FFF2-40B4-BE49-F238E27FC236}">
              <a16:creationId xmlns:a16="http://schemas.microsoft.com/office/drawing/2014/main" id="{9032639C-4BC0-4A08-B918-AA9E40AD64A3}"/>
            </a:ext>
          </a:extLst>
        </xdr:cNvPr>
        <xdr:cNvPicPr>
          <a:picLocks noChangeAspect="1"/>
        </xdr:cNvPicPr>
      </xdr:nvPicPr>
      <xdr:blipFill>
        <a:blip xmlns:r="http://schemas.openxmlformats.org/officeDocument/2006/relationships" r:embed="rId4">
          <a:duotone>
            <a:schemeClr val="accent4">
              <a:shade val="45000"/>
              <a:satMod val="135000"/>
            </a:schemeClr>
            <a:prstClr val="white"/>
          </a:duotone>
          <a:extLst>
            <a:ext uri="{BEBA8EAE-BF5A-486C-A8C5-ECC9F3942E4B}">
              <a14:imgProps xmlns:a14="http://schemas.microsoft.com/office/drawing/2010/main">
                <a14:imgLayer r:embed="rId5">
                  <a14:imgEffect>
                    <a14:colorTemperature colorTemp="4700"/>
                  </a14:imgEffect>
                  <a14:imgEffect>
                    <a14:saturation sat="0"/>
                  </a14:imgEffect>
                </a14:imgLayer>
              </a14:imgProps>
            </a:ext>
          </a:extLst>
        </a:blip>
        <a:stretch>
          <a:fillRect/>
        </a:stretch>
      </xdr:blipFill>
      <xdr:spPr>
        <a:xfrm>
          <a:off x="1828801" y="2095500"/>
          <a:ext cx="1476374" cy="720000"/>
        </a:xfrm>
        <a:prstGeom prst="rect">
          <a:avLst/>
        </a:prstGeom>
      </xdr:spPr>
    </xdr:pic>
    <xdr:clientData/>
  </xdr:twoCellAnchor>
  <xdr:twoCellAnchor>
    <xdr:from>
      <xdr:col>3</xdr:col>
      <xdr:colOff>0</xdr:colOff>
      <xdr:row>16</xdr:row>
      <xdr:rowOff>0</xdr:rowOff>
    </xdr:from>
    <xdr:to>
      <xdr:col>5</xdr:col>
      <xdr:colOff>257175</xdr:colOff>
      <xdr:row>19</xdr:row>
      <xdr:rowOff>148500</xdr:rowOff>
    </xdr:to>
    <xdr:pic>
      <xdr:nvPicPr>
        <xdr:cNvPr id="10" name="Picture 31">
          <a:hlinkClick xmlns:r="http://schemas.openxmlformats.org/officeDocument/2006/relationships" r:id="rId6"/>
          <a:extLst>
            <a:ext uri="{FF2B5EF4-FFF2-40B4-BE49-F238E27FC236}">
              <a16:creationId xmlns:a16="http://schemas.microsoft.com/office/drawing/2014/main" id="{1D1135E5-9832-4A79-96FB-D1CE748D2FC0}"/>
            </a:ext>
          </a:extLst>
        </xdr:cNvPr>
        <xdr:cNvPicPr>
          <a:picLocks noChangeAspect="1"/>
        </xdr:cNvPicPr>
      </xdr:nvPicPr>
      <xdr:blipFill>
        <a:blip xmlns:r="http://schemas.openxmlformats.org/officeDocument/2006/relationships" r:embed="rId7">
          <a:duotone>
            <a:schemeClr val="accent4">
              <a:shade val="45000"/>
              <a:satMod val="135000"/>
            </a:schemeClr>
            <a:prstClr val="white"/>
          </a:duotone>
        </a:blip>
        <a:stretch>
          <a:fillRect/>
        </a:stretch>
      </xdr:blipFill>
      <xdr:spPr>
        <a:xfrm>
          <a:off x="1828800" y="3048000"/>
          <a:ext cx="1476375" cy="720000"/>
        </a:xfrm>
        <a:prstGeom prst="rect">
          <a:avLst/>
        </a:prstGeom>
      </xdr:spPr>
    </xdr:pic>
    <xdr:clientData/>
  </xdr:twoCellAnchor>
  <xdr:twoCellAnchor editAs="oneCell">
    <xdr:from>
      <xdr:col>3</xdr:col>
      <xdr:colOff>1</xdr:colOff>
      <xdr:row>21</xdr:row>
      <xdr:rowOff>0</xdr:rowOff>
    </xdr:from>
    <xdr:to>
      <xdr:col>5</xdr:col>
      <xdr:colOff>266701</xdr:colOff>
      <xdr:row>24</xdr:row>
      <xdr:rowOff>148500</xdr:rowOff>
    </xdr:to>
    <xdr:pic>
      <xdr:nvPicPr>
        <xdr:cNvPr id="11" name="Picture 10">
          <a:extLst>
            <a:ext uri="{FF2B5EF4-FFF2-40B4-BE49-F238E27FC236}">
              <a16:creationId xmlns:a16="http://schemas.microsoft.com/office/drawing/2014/main" id="{77DFE4DD-D8B9-A89A-08A8-4C2ECD28D38A}"/>
            </a:ext>
          </a:extLst>
        </xdr:cNvPr>
        <xdr:cNvPicPr>
          <a:picLocks noChangeAspect="1"/>
        </xdr:cNvPicPr>
      </xdr:nvPicPr>
      <xdr:blipFill>
        <a:blip xmlns:r="http://schemas.openxmlformats.org/officeDocument/2006/relationships" r:embed="rId8"/>
        <a:stretch>
          <a:fillRect/>
        </a:stretch>
      </xdr:blipFill>
      <xdr:spPr>
        <a:xfrm>
          <a:off x="1828801" y="4000500"/>
          <a:ext cx="1485900" cy="720000"/>
        </a:xfrm>
        <a:prstGeom prst="rect">
          <a:avLst/>
        </a:prstGeom>
      </xdr:spPr>
    </xdr:pic>
    <xdr:clientData/>
  </xdr:twoCellAnchor>
  <xdr:twoCellAnchor editAs="oneCell">
    <xdr:from>
      <xdr:col>6</xdr:col>
      <xdr:colOff>1</xdr:colOff>
      <xdr:row>6</xdr:row>
      <xdr:rowOff>0</xdr:rowOff>
    </xdr:from>
    <xdr:to>
      <xdr:col>8</xdr:col>
      <xdr:colOff>254000</xdr:colOff>
      <xdr:row>9</xdr:row>
      <xdr:rowOff>148500</xdr:rowOff>
    </xdr:to>
    <xdr:pic>
      <xdr:nvPicPr>
        <xdr:cNvPr id="12" name="Picture 11">
          <a:extLst>
            <a:ext uri="{FF2B5EF4-FFF2-40B4-BE49-F238E27FC236}">
              <a16:creationId xmlns:a16="http://schemas.microsoft.com/office/drawing/2014/main" id="{C2A9EBF5-5E81-1038-A84A-43A1F5821753}"/>
            </a:ext>
          </a:extLst>
        </xdr:cNvPr>
        <xdr:cNvPicPr>
          <a:picLocks noChangeAspect="1"/>
        </xdr:cNvPicPr>
      </xdr:nvPicPr>
      <xdr:blipFill>
        <a:blip xmlns:r="http://schemas.openxmlformats.org/officeDocument/2006/relationships" r:embed="rId9"/>
        <a:stretch>
          <a:fillRect/>
        </a:stretch>
      </xdr:blipFill>
      <xdr:spPr>
        <a:xfrm>
          <a:off x="3667126" y="1143000"/>
          <a:ext cx="1476374" cy="720000"/>
        </a:xfrm>
        <a:prstGeom prst="rect">
          <a:avLst/>
        </a:prstGeom>
      </xdr:spPr>
    </xdr:pic>
    <xdr:clientData/>
  </xdr:twoCellAnchor>
  <xdr:twoCellAnchor editAs="oneCell">
    <xdr:from>
      <xdr:col>6</xdr:col>
      <xdr:colOff>0</xdr:colOff>
      <xdr:row>11</xdr:row>
      <xdr:rowOff>0</xdr:rowOff>
    </xdr:from>
    <xdr:to>
      <xdr:col>8</xdr:col>
      <xdr:colOff>258536</xdr:colOff>
      <xdr:row>14</xdr:row>
      <xdr:rowOff>148500</xdr:rowOff>
    </xdr:to>
    <xdr:pic>
      <xdr:nvPicPr>
        <xdr:cNvPr id="13" name="Picture 12">
          <a:extLst>
            <a:ext uri="{FF2B5EF4-FFF2-40B4-BE49-F238E27FC236}">
              <a16:creationId xmlns:a16="http://schemas.microsoft.com/office/drawing/2014/main" id="{764D951A-E9A8-4EDA-BBD6-4DD30C657E40}"/>
            </a:ext>
          </a:extLst>
        </xdr:cNvPr>
        <xdr:cNvPicPr>
          <a:picLocks noChangeAspect="1"/>
        </xdr:cNvPicPr>
      </xdr:nvPicPr>
      <xdr:blipFill>
        <a:blip xmlns:r="http://schemas.openxmlformats.org/officeDocument/2006/relationships" r:embed="rId10">
          <a:extLst>
            <a:ext uri="{BEBA8EAE-BF5A-486C-A8C5-ECC9F3942E4B}">
              <a14:imgProps xmlns:a14="http://schemas.microsoft.com/office/drawing/2010/main">
                <a14:imgLayer r:embed="rId11">
                  <a14:imgEffect>
                    <a14:colorTemperature colorTemp="5900"/>
                  </a14:imgEffect>
                  <a14:imgEffect>
                    <a14:saturation sat="66000"/>
                  </a14:imgEffect>
                </a14:imgLayer>
              </a14:imgProps>
            </a:ext>
          </a:extLst>
        </a:blip>
        <a:stretch>
          <a:fillRect/>
        </a:stretch>
      </xdr:blipFill>
      <xdr:spPr>
        <a:xfrm>
          <a:off x="3673929" y="2095500"/>
          <a:ext cx="1483178" cy="720000"/>
        </a:xfrm>
        <a:prstGeom prst="rect">
          <a:avLst/>
        </a:prstGeom>
      </xdr:spPr>
    </xdr:pic>
    <xdr:clientData/>
  </xdr:twoCellAnchor>
  <xdr:twoCellAnchor editAs="oneCell">
    <xdr:from>
      <xdr:col>5</xdr:col>
      <xdr:colOff>609599</xdr:colOff>
      <xdr:row>16</xdr:row>
      <xdr:rowOff>0</xdr:rowOff>
    </xdr:from>
    <xdr:to>
      <xdr:col>8</xdr:col>
      <xdr:colOff>257175</xdr:colOff>
      <xdr:row>19</xdr:row>
      <xdr:rowOff>148500</xdr:rowOff>
    </xdr:to>
    <xdr:pic>
      <xdr:nvPicPr>
        <xdr:cNvPr id="14" name="Picture 13">
          <a:extLst>
            <a:ext uri="{FF2B5EF4-FFF2-40B4-BE49-F238E27FC236}">
              <a16:creationId xmlns:a16="http://schemas.microsoft.com/office/drawing/2014/main" id="{2068371D-9B56-D777-92E1-A57B4C1418A8}"/>
            </a:ext>
          </a:extLst>
        </xdr:cNvPr>
        <xdr:cNvPicPr>
          <a:picLocks noChangeAspect="1"/>
        </xdr:cNvPicPr>
      </xdr:nvPicPr>
      <xdr:blipFill>
        <a:blip xmlns:r="http://schemas.openxmlformats.org/officeDocument/2006/relationships" r:embed="rId12"/>
        <a:stretch>
          <a:fillRect/>
        </a:stretch>
      </xdr:blipFill>
      <xdr:spPr>
        <a:xfrm>
          <a:off x="3657599" y="3048000"/>
          <a:ext cx="1476376" cy="720000"/>
        </a:xfrm>
        <a:prstGeom prst="rect">
          <a:avLst/>
        </a:prstGeom>
      </xdr:spPr>
    </xdr:pic>
    <xdr:clientData/>
  </xdr:twoCellAnchor>
  <xdr:twoCellAnchor editAs="oneCell">
    <xdr:from>
      <xdr:col>5</xdr:col>
      <xdr:colOff>609599</xdr:colOff>
      <xdr:row>21</xdr:row>
      <xdr:rowOff>0</xdr:rowOff>
    </xdr:from>
    <xdr:to>
      <xdr:col>8</xdr:col>
      <xdr:colOff>261938</xdr:colOff>
      <xdr:row>24</xdr:row>
      <xdr:rowOff>148500</xdr:rowOff>
    </xdr:to>
    <xdr:pic>
      <xdr:nvPicPr>
        <xdr:cNvPr id="15" name="Picture 14">
          <a:extLst>
            <a:ext uri="{FF2B5EF4-FFF2-40B4-BE49-F238E27FC236}">
              <a16:creationId xmlns:a16="http://schemas.microsoft.com/office/drawing/2014/main" id="{14677CE7-0CF5-65CB-1299-C762F4403E3E}"/>
            </a:ext>
          </a:extLst>
        </xdr:cNvPr>
        <xdr:cNvPicPr>
          <a:picLocks noChangeAspect="1"/>
        </xdr:cNvPicPr>
      </xdr:nvPicPr>
      <xdr:blipFill>
        <a:blip xmlns:r="http://schemas.openxmlformats.org/officeDocument/2006/relationships" r:embed="rId13"/>
        <a:stretch>
          <a:fillRect/>
        </a:stretch>
      </xdr:blipFill>
      <xdr:spPr>
        <a:xfrm>
          <a:off x="3665537" y="4000500"/>
          <a:ext cx="1485901" cy="720000"/>
        </a:xfrm>
        <a:prstGeom prst="rect">
          <a:avLst/>
        </a:prstGeom>
      </xdr:spPr>
    </xdr:pic>
    <xdr:clientData/>
  </xdr:twoCellAnchor>
  <xdr:twoCellAnchor>
    <xdr:from>
      <xdr:col>9</xdr:col>
      <xdr:colOff>0</xdr:colOff>
      <xdr:row>6</xdr:row>
      <xdr:rowOff>0</xdr:rowOff>
    </xdr:from>
    <xdr:to>
      <xdr:col>11</xdr:col>
      <xdr:colOff>262707</xdr:colOff>
      <xdr:row>9</xdr:row>
      <xdr:rowOff>148500</xdr:rowOff>
    </xdr:to>
    <xdr:pic>
      <xdr:nvPicPr>
        <xdr:cNvPr id="16" name="Picture 69">
          <a:hlinkClick xmlns:r="http://schemas.openxmlformats.org/officeDocument/2006/relationships" r:id="rId14"/>
          <a:extLst>
            <a:ext uri="{FF2B5EF4-FFF2-40B4-BE49-F238E27FC236}">
              <a16:creationId xmlns:a16="http://schemas.microsoft.com/office/drawing/2014/main" id="{31075AB6-86EB-4D4C-BDA2-64446B0B4752}"/>
            </a:ext>
          </a:extLst>
        </xdr:cNvPr>
        <xdr:cNvPicPr>
          <a:picLocks noChangeAspect="1"/>
        </xdr:cNvPicPr>
      </xdr:nvPicPr>
      <xdr:blipFill>
        <a:blip xmlns:r="http://schemas.openxmlformats.org/officeDocument/2006/relationships" r:embed="rId15">
          <a:duotone>
            <a:schemeClr val="accent4">
              <a:shade val="45000"/>
              <a:satMod val="135000"/>
            </a:schemeClr>
            <a:prstClr val="white"/>
          </a:duotone>
        </a:blip>
        <a:stretch>
          <a:fillRect/>
        </a:stretch>
      </xdr:blipFill>
      <xdr:spPr>
        <a:xfrm>
          <a:off x="5510893" y="1143000"/>
          <a:ext cx="1487350" cy="720000"/>
        </a:xfrm>
        <a:prstGeom prst="rect">
          <a:avLst/>
        </a:prstGeom>
      </xdr:spPr>
    </xdr:pic>
    <xdr:clientData/>
  </xdr:twoCellAnchor>
  <xdr:twoCellAnchor editAs="oneCell">
    <xdr:from>
      <xdr:col>8</xdr:col>
      <xdr:colOff>612320</xdr:colOff>
      <xdr:row>11</xdr:row>
      <xdr:rowOff>0</xdr:rowOff>
    </xdr:from>
    <xdr:to>
      <xdr:col>11</xdr:col>
      <xdr:colOff>253999</xdr:colOff>
      <xdr:row>14</xdr:row>
      <xdr:rowOff>148500</xdr:rowOff>
    </xdr:to>
    <xdr:pic>
      <xdr:nvPicPr>
        <xdr:cNvPr id="17" name="Picture 16">
          <a:hlinkClick xmlns:r="http://schemas.openxmlformats.org/officeDocument/2006/relationships" r:id="rId3"/>
          <a:extLst>
            <a:ext uri="{FF2B5EF4-FFF2-40B4-BE49-F238E27FC236}">
              <a16:creationId xmlns:a16="http://schemas.microsoft.com/office/drawing/2014/main" id="{5B3C01E0-432B-422B-8F87-8D25B43D3C21}"/>
            </a:ext>
          </a:extLst>
        </xdr:cNvPr>
        <xdr:cNvPicPr>
          <a:picLocks noChangeAspect="1"/>
        </xdr:cNvPicPr>
      </xdr:nvPicPr>
      <xdr:blipFill>
        <a:blip xmlns:r="http://schemas.openxmlformats.org/officeDocument/2006/relationships" r:embed="rId4">
          <a:duotone>
            <a:schemeClr val="accent4">
              <a:shade val="45000"/>
              <a:satMod val="135000"/>
            </a:schemeClr>
            <a:prstClr val="white"/>
          </a:duotone>
          <a:extLst>
            <a:ext uri="{BEBA8EAE-BF5A-486C-A8C5-ECC9F3942E4B}">
              <a14:imgProps xmlns:a14="http://schemas.microsoft.com/office/drawing/2010/main">
                <a14:imgLayer r:embed="rId5">
                  <a14:imgEffect>
                    <a14:colorTemperature colorTemp="4700"/>
                  </a14:imgEffect>
                  <a14:imgEffect>
                    <a14:saturation sat="0"/>
                  </a14:imgEffect>
                </a14:imgLayer>
              </a14:imgProps>
            </a:ext>
          </a:extLst>
        </a:blip>
        <a:stretch>
          <a:fillRect/>
        </a:stretch>
      </xdr:blipFill>
      <xdr:spPr>
        <a:xfrm>
          <a:off x="5522987" y="2095500"/>
          <a:ext cx="1483179" cy="720000"/>
        </a:xfrm>
        <a:prstGeom prst="rect">
          <a:avLst/>
        </a:prstGeom>
      </xdr:spPr>
    </xdr:pic>
    <xdr:clientData/>
  </xdr:twoCellAnchor>
  <xdr:twoCellAnchor editAs="oneCell">
    <xdr:from>
      <xdr:col>9</xdr:col>
      <xdr:colOff>1</xdr:colOff>
      <xdr:row>16</xdr:row>
      <xdr:rowOff>0</xdr:rowOff>
    </xdr:from>
    <xdr:to>
      <xdr:col>11</xdr:col>
      <xdr:colOff>258535</xdr:colOff>
      <xdr:row>19</xdr:row>
      <xdr:rowOff>148500</xdr:rowOff>
    </xdr:to>
    <xdr:pic>
      <xdr:nvPicPr>
        <xdr:cNvPr id="18" name="Picture 22">
          <a:extLst>
            <a:ext uri="{FF2B5EF4-FFF2-40B4-BE49-F238E27FC236}">
              <a16:creationId xmlns:a16="http://schemas.microsoft.com/office/drawing/2014/main" id="{0940F8C6-F9AE-4A89-96AA-F1230F41A0C5}"/>
            </a:ext>
            <a:ext uri="{147F2762-F138-4A5C-976F-8EAC2B608ADB}">
              <a16:predDERef xmlns:a16="http://schemas.microsoft.com/office/drawing/2014/main" pred="{61DE37D9-3D4A-4198-A26C-6D5CC309499C}"/>
            </a:ext>
          </a:extLst>
        </xdr:cNvPr>
        <xdr:cNvPicPr>
          <a:picLocks noChangeAspect="1"/>
        </xdr:cNvPicPr>
      </xdr:nvPicPr>
      <xdr:blipFill>
        <a:blip xmlns:r="http://schemas.openxmlformats.org/officeDocument/2006/relationships" r:embed="rId16">
          <a:extLst>
            <a:ext uri="{BEBA8EAE-BF5A-486C-A8C5-ECC9F3942E4B}">
              <a14:imgProps xmlns:a14="http://schemas.microsoft.com/office/drawing/2010/main">
                <a14:imgLayer r:embed="rId17">
                  <a14:imgEffect>
                    <a14:colorTemperature colorTemp="5900"/>
                  </a14:imgEffect>
                  <a14:imgEffect>
                    <a14:saturation sat="66000"/>
                  </a14:imgEffect>
                </a14:imgLayer>
              </a14:imgProps>
            </a:ext>
          </a:extLst>
        </a:blip>
        <a:stretch>
          <a:fillRect/>
        </a:stretch>
      </xdr:blipFill>
      <xdr:spPr>
        <a:xfrm>
          <a:off x="5510894" y="3048000"/>
          <a:ext cx="1483177" cy="720000"/>
        </a:xfrm>
        <a:prstGeom prst="rect">
          <a:avLst/>
        </a:prstGeom>
      </xdr:spPr>
    </xdr:pic>
    <xdr:clientData/>
  </xdr:twoCellAnchor>
  <xdr:twoCellAnchor>
    <xdr:from>
      <xdr:col>9</xdr:col>
      <xdr:colOff>0</xdr:colOff>
      <xdr:row>21</xdr:row>
      <xdr:rowOff>0</xdr:rowOff>
    </xdr:from>
    <xdr:to>
      <xdr:col>11</xdr:col>
      <xdr:colOff>258535</xdr:colOff>
      <xdr:row>24</xdr:row>
      <xdr:rowOff>148500</xdr:rowOff>
    </xdr:to>
    <xdr:pic>
      <xdr:nvPicPr>
        <xdr:cNvPr id="19" name="Picture 72">
          <a:hlinkClick xmlns:r="http://schemas.openxmlformats.org/officeDocument/2006/relationships" r:id="rId18"/>
          <a:extLst>
            <a:ext uri="{FF2B5EF4-FFF2-40B4-BE49-F238E27FC236}">
              <a16:creationId xmlns:a16="http://schemas.microsoft.com/office/drawing/2014/main" id="{D1FB66FC-3B64-4164-97C9-043A81D62D82}"/>
            </a:ext>
            <a:ext uri="{147F2762-F138-4A5C-976F-8EAC2B608ADB}">
              <a16:predDERef xmlns:a16="http://schemas.microsoft.com/office/drawing/2014/main" pred="{5604FE76-7367-4A49-AA8D-ABED8B1C04F0}"/>
            </a:ext>
          </a:extLst>
        </xdr:cNvPr>
        <xdr:cNvPicPr>
          <a:picLocks noChangeAspect="1"/>
        </xdr:cNvPicPr>
      </xdr:nvPicPr>
      <xdr:blipFill>
        <a:blip xmlns:r="http://schemas.openxmlformats.org/officeDocument/2006/relationships" r:embed="rId19">
          <a:duotone>
            <a:schemeClr val="accent4">
              <a:shade val="45000"/>
              <a:satMod val="135000"/>
            </a:schemeClr>
            <a:prstClr val="white"/>
          </a:duotone>
        </a:blip>
        <a:stretch>
          <a:fillRect/>
        </a:stretch>
      </xdr:blipFill>
      <xdr:spPr>
        <a:xfrm>
          <a:off x="5510893" y="4000500"/>
          <a:ext cx="1483178" cy="720000"/>
        </a:xfrm>
        <a:prstGeom prst="rect">
          <a:avLst/>
        </a:prstGeom>
      </xdr:spPr>
    </xdr:pic>
    <xdr:clientData/>
  </xdr:twoCellAnchor>
  <xdr:twoCellAnchor>
    <xdr:from>
      <xdr:col>12</xdr:col>
      <xdr:colOff>0</xdr:colOff>
      <xdr:row>5</xdr:row>
      <xdr:rowOff>190499</xdr:rowOff>
    </xdr:from>
    <xdr:to>
      <xdr:col>14</xdr:col>
      <xdr:colOff>262705</xdr:colOff>
      <xdr:row>9</xdr:row>
      <xdr:rowOff>148499</xdr:rowOff>
    </xdr:to>
    <xdr:pic>
      <xdr:nvPicPr>
        <xdr:cNvPr id="20" name="Picture 69">
          <a:hlinkClick xmlns:r="http://schemas.openxmlformats.org/officeDocument/2006/relationships" r:id="rId14"/>
          <a:extLst>
            <a:ext uri="{FF2B5EF4-FFF2-40B4-BE49-F238E27FC236}">
              <a16:creationId xmlns:a16="http://schemas.microsoft.com/office/drawing/2014/main" id="{44BC413B-E175-4CF4-87C2-7E66B66038D5}"/>
            </a:ext>
          </a:extLst>
        </xdr:cNvPr>
        <xdr:cNvPicPr>
          <a:picLocks noChangeAspect="1"/>
        </xdr:cNvPicPr>
      </xdr:nvPicPr>
      <xdr:blipFill>
        <a:blip xmlns:r="http://schemas.openxmlformats.org/officeDocument/2006/relationships" r:embed="rId15">
          <a:duotone>
            <a:schemeClr val="accent4">
              <a:shade val="45000"/>
              <a:satMod val="135000"/>
            </a:schemeClr>
            <a:prstClr val="white"/>
          </a:duotone>
        </a:blip>
        <a:stretch>
          <a:fillRect/>
        </a:stretch>
      </xdr:blipFill>
      <xdr:spPr>
        <a:xfrm>
          <a:off x="7347857" y="1142999"/>
          <a:ext cx="1487348" cy="720000"/>
        </a:xfrm>
        <a:prstGeom prst="rect">
          <a:avLst/>
        </a:prstGeom>
      </xdr:spPr>
    </xdr:pic>
    <xdr:clientData/>
  </xdr:twoCellAnchor>
  <xdr:twoCellAnchor editAs="oneCell">
    <xdr:from>
      <xdr:col>12</xdr:col>
      <xdr:colOff>1</xdr:colOff>
      <xdr:row>11</xdr:row>
      <xdr:rowOff>0</xdr:rowOff>
    </xdr:from>
    <xdr:to>
      <xdr:col>14</xdr:col>
      <xdr:colOff>266700</xdr:colOff>
      <xdr:row>14</xdr:row>
      <xdr:rowOff>148500</xdr:rowOff>
    </xdr:to>
    <xdr:pic>
      <xdr:nvPicPr>
        <xdr:cNvPr id="21" name="Picture 20">
          <a:hlinkClick xmlns:r="http://schemas.openxmlformats.org/officeDocument/2006/relationships" r:id="rId3"/>
          <a:extLst>
            <a:ext uri="{FF2B5EF4-FFF2-40B4-BE49-F238E27FC236}">
              <a16:creationId xmlns:a16="http://schemas.microsoft.com/office/drawing/2014/main" id="{5E23C75C-37C3-4CB1-B4A4-BFCD0F4597EF}"/>
            </a:ext>
          </a:extLst>
        </xdr:cNvPr>
        <xdr:cNvPicPr>
          <a:picLocks noChangeAspect="1"/>
        </xdr:cNvPicPr>
      </xdr:nvPicPr>
      <xdr:blipFill>
        <a:blip xmlns:r="http://schemas.openxmlformats.org/officeDocument/2006/relationships" r:embed="rId20">
          <a:duotone>
            <a:schemeClr val="accent4">
              <a:shade val="45000"/>
              <a:satMod val="135000"/>
            </a:schemeClr>
            <a:prstClr val="white"/>
          </a:duotone>
        </a:blip>
        <a:stretch>
          <a:fillRect/>
        </a:stretch>
      </xdr:blipFill>
      <xdr:spPr>
        <a:xfrm>
          <a:off x="7315201" y="2095500"/>
          <a:ext cx="1485899" cy="720000"/>
        </a:xfrm>
        <a:prstGeom prst="rect">
          <a:avLst/>
        </a:prstGeom>
      </xdr:spPr>
    </xdr:pic>
    <xdr:clientData/>
  </xdr:twoCellAnchor>
  <xdr:twoCellAnchor>
    <xdr:from>
      <xdr:col>12</xdr:col>
      <xdr:colOff>2721</xdr:colOff>
      <xdr:row>16</xdr:row>
      <xdr:rowOff>0</xdr:rowOff>
    </xdr:from>
    <xdr:to>
      <xdr:col>14</xdr:col>
      <xdr:colOff>266700</xdr:colOff>
      <xdr:row>19</xdr:row>
      <xdr:rowOff>148500</xdr:rowOff>
    </xdr:to>
    <xdr:pic>
      <xdr:nvPicPr>
        <xdr:cNvPr id="22" name="Picture 21">
          <a:hlinkClick xmlns:r="http://schemas.openxmlformats.org/officeDocument/2006/relationships" r:id="rId6"/>
          <a:extLst>
            <a:ext uri="{FF2B5EF4-FFF2-40B4-BE49-F238E27FC236}">
              <a16:creationId xmlns:a16="http://schemas.microsoft.com/office/drawing/2014/main" id="{5AE3A1F5-48DB-4D8D-AD9B-B4C3B9F93988}"/>
            </a:ext>
          </a:extLst>
        </xdr:cNvPr>
        <xdr:cNvPicPr>
          <a:picLocks noChangeAspect="1"/>
        </xdr:cNvPicPr>
      </xdr:nvPicPr>
      <xdr:blipFill>
        <a:blip xmlns:r="http://schemas.openxmlformats.org/officeDocument/2006/relationships" r:embed="rId7">
          <a:duotone>
            <a:schemeClr val="accent4">
              <a:shade val="45000"/>
              <a:satMod val="135000"/>
            </a:schemeClr>
            <a:prstClr val="white"/>
          </a:duotone>
        </a:blip>
        <a:stretch>
          <a:fillRect/>
        </a:stretch>
      </xdr:blipFill>
      <xdr:spPr>
        <a:xfrm>
          <a:off x="7317921" y="3048000"/>
          <a:ext cx="1483179" cy="720000"/>
        </a:xfrm>
        <a:prstGeom prst="rect">
          <a:avLst/>
        </a:prstGeom>
      </xdr:spPr>
    </xdr:pic>
    <xdr:clientData/>
  </xdr:twoCellAnchor>
  <xdr:twoCellAnchor editAs="oneCell">
    <xdr:from>
      <xdr:col>11</xdr:col>
      <xdr:colOff>609599</xdr:colOff>
      <xdr:row>21</xdr:row>
      <xdr:rowOff>0</xdr:rowOff>
    </xdr:from>
    <xdr:to>
      <xdr:col>14</xdr:col>
      <xdr:colOff>266700</xdr:colOff>
      <xdr:row>24</xdr:row>
      <xdr:rowOff>148500</xdr:rowOff>
    </xdr:to>
    <xdr:pic>
      <xdr:nvPicPr>
        <xdr:cNvPr id="23" name="Picture 22">
          <a:extLst>
            <a:ext uri="{FF2B5EF4-FFF2-40B4-BE49-F238E27FC236}">
              <a16:creationId xmlns:a16="http://schemas.microsoft.com/office/drawing/2014/main" id="{D4A26906-037F-40B5-B085-6825D386C894}"/>
            </a:ext>
          </a:extLst>
        </xdr:cNvPr>
        <xdr:cNvPicPr>
          <a:picLocks noChangeAspect="1"/>
        </xdr:cNvPicPr>
      </xdr:nvPicPr>
      <xdr:blipFill>
        <a:blip xmlns:r="http://schemas.openxmlformats.org/officeDocument/2006/relationships" r:embed="rId21">
          <a:extLst>
            <a:ext uri="{BEBA8EAE-BF5A-486C-A8C5-ECC9F3942E4B}">
              <a14:imgProps xmlns:a14="http://schemas.microsoft.com/office/drawing/2010/main">
                <a14:imgLayer r:embed="rId22">
                  <a14:imgEffect>
                    <a14:colorTemperature colorTemp="5900"/>
                  </a14:imgEffect>
                  <a14:imgEffect>
                    <a14:saturation sat="66000"/>
                  </a14:imgEffect>
                </a14:imgLayer>
              </a14:imgProps>
            </a:ext>
          </a:extLst>
        </a:blip>
        <a:stretch>
          <a:fillRect/>
        </a:stretch>
      </xdr:blipFill>
      <xdr:spPr>
        <a:xfrm>
          <a:off x="7315199" y="4000500"/>
          <a:ext cx="1485901" cy="72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195035</xdr:colOff>
      <xdr:row>30</xdr:row>
      <xdr:rowOff>31750</xdr:rowOff>
    </xdr:to>
    <xdr:sp macro="" textlink="">
      <xdr:nvSpPr>
        <xdr:cNvPr id="2" name="TextBox 28">
          <a:extLst>
            <a:ext uri="{FF2B5EF4-FFF2-40B4-BE49-F238E27FC236}">
              <a16:creationId xmlns:a16="http://schemas.microsoft.com/office/drawing/2014/main" id="{D699DC9C-FE3E-4212-9122-D9AD097CF1A0}"/>
            </a:ext>
          </a:extLst>
        </xdr:cNvPr>
        <xdr:cNvSpPr txBox="1"/>
      </xdr:nvSpPr>
      <xdr:spPr>
        <a:xfrm>
          <a:off x="0" y="0"/>
          <a:ext cx="7510235" cy="5746750"/>
        </a:xfrm>
        <a:prstGeom prst="rect">
          <a:avLst/>
        </a:prstGeom>
        <a:solidFill>
          <a:schemeClr val="accent3"/>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1"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Skaičiuoklės naudotojai pildo tik žalsva ir melsva spalva nuspalvintus duomenų laukelius. </a:t>
          </a:r>
          <a:endPar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Nurodytais žingsniais, nuosekliai užpildomas kiekvienas duomenų laukelis: </a:t>
          </a:r>
        </a:p>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1. Įvedamas laikotarpis (metais), kuriam vartotojas nori paskaičiuoti oro teršalų sumažinimą;</a:t>
          </a:r>
        </a:p>
        <a:p>
          <a:pPr marL="0" marR="0" lvl="0" indent="0" defTabSz="914400" eaLnBrk="1" fontAlgn="auto" latinLnBrk="0" hangingPunct="1">
            <a:lnSpc>
              <a:spcPct val="100000"/>
            </a:lnSpc>
            <a:spcBef>
              <a:spcPts val="0"/>
            </a:spcBef>
            <a:spcAft>
              <a:spcPts val="500"/>
            </a:spcAft>
            <a:buClrTx/>
            <a:buSzTx/>
            <a:buFontTx/>
            <a:buNone/>
            <a:tabLst/>
            <a:defRPr/>
          </a:pPr>
          <a:r>
            <a:rPr kumimoji="0" lang="en-US"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2</a:t>
          </a: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 Iš pateikiamo pasirinkimų sąrašo, vartotojas pasirenka transporto priemonės kategoriją;</a:t>
          </a:r>
        </a:p>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3. Iš pateikiamo pasirinkimų sąrašo, vartotojas pasirenka transporto priemonės kuro rūšį;</a:t>
          </a:r>
        </a:p>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4. Iš pateikiamo pasirinkimų sąrašo, vartotojas pasirenka emisijos standartą;</a:t>
          </a:r>
        </a:p>
        <a:p>
          <a:pPr marL="0" marR="0" lvl="0" indent="0" defTabSz="914400" eaLnBrk="1" fontAlgn="auto" latinLnBrk="0" hangingPunct="1">
            <a:lnSpc>
              <a:spcPct val="100000"/>
            </a:lnSpc>
            <a:spcBef>
              <a:spcPts val="0"/>
            </a:spcBef>
            <a:spcAft>
              <a:spcPts val="500"/>
            </a:spcAft>
            <a:buClrTx/>
            <a:buSzTx/>
            <a:buFontTx/>
            <a:buNone/>
            <a:tabLst/>
            <a:defRPr/>
          </a:pPr>
          <a:r>
            <a:rPr kumimoji="0" lang="lt-LT" sz="1100" b="0" i="0" u="none" strike="noStrike" kern="100" cap="none" spc="0" normalizeH="0" baseline="0" noProof="0">
              <a:ln>
                <a:noFill/>
              </a:ln>
              <a:solidFill>
                <a:srgbClr val="808080"/>
              </a:solidFill>
              <a:effectLst/>
              <a:uLnTx/>
              <a:uFillTx/>
              <a:latin typeface="Calibri" panose="020F0502020204030204" pitchFamily="34" charset="0"/>
              <a:ea typeface="Calibri" panose="020F0502020204030204" pitchFamily="34" charset="0"/>
              <a:cs typeface="Times New Roman" panose="02020603050405020304" pitchFamily="18" charset="0"/>
            </a:rPr>
            <a:t>5. Įvedamas bazinis transporto priemonių kiekis automobilių parke;</a:t>
          </a:r>
        </a:p>
        <a:p>
          <a:pPr marL="0" marR="0" lvl="0" indent="0" defTabSz="914400" eaLnBrk="1" fontAlgn="auto" latinLnBrk="0" hangingPunct="1">
            <a:lnSpc>
              <a:spcPct val="100000"/>
            </a:lnSpc>
            <a:spcBef>
              <a:spcPts val="0"/>
            </a:spcBef>
            <a:spcAft>
              <a:spcPts val="500"/>
            </a:spcAft>
            <a:buClrTx/>
            <a:buSzTx/>
            <a:buFontTx/>
            <a:buNone/>
            <a:tabLst/>
            <a:defRPr/>
          </a:pPr>
          <a:r>
            <a:rPr lang="lt-LT" sz="1100"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rPr>
            <a:t>6. Įvedamas projektinis transporto priemonių kiekis automobilių</a:t>
          </a:r>
          <a:r>
            <a:rPr lang="lt-LT" sz="1100" kern="100" baseline="0">
              <a:solidFill>
                <a:srgbClr val="808080"/>
              </a:solidFill>
              <a:effectLst/>
              <a:latin typeface="Calibri" panose="020F0502020204030204" pitchFamily="34" charset="0"/>
              <a:ea typeface="Calibri" panose="020F0502020204030204" pitchFamily="34" charset="0"/>
              <a:cs typeface="Times New Roman" panose="02020603050405020304" pitchFamily="18" charset="0"/>
            </a:rPr>
            <a:t> parke.</a:t>
          </a:r>
          <a:endParaRPr lang="lt-LT" sz="1100"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0000"/>
            </a:lnSpc>
            <a:spcAft>
              <a:spcPts val="500"/>
            </a:spcAft>
          </a:pPr>
          <a:endParaRPr lang="lt-LT" sz="1100" b="1"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0000"/>
            </a:lnSpc>
            <a:spcAft>
              <a:spcPts val="500"/>
            </a:spcAft>
          </a:pPr>
          <a:r>
            <a:rPr lang="lt-LT" sz="1100" b="1"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rPr>
            <a:t>Rezultatų vertinimas</a:t>
          </a:r>
        </a:p>
        <a:p>
          <a:pPr marL="0" marR="0" lvl="0" indent="0" defTabSz="914400" eaLnBrk="1" fontAlgn="auto" latinLnBrk="0" hangingPunct="1">
            <a:lnSpc>
              <a:spcPct val="100000"/>
            </a:lnSpc>
            <a:spcBef>
              <a:spcPts val="0"/>
            </a:spcBef>
            <a:spcAft>
              <a:spcPts val="500"/>
            </a:spcAft>
            <a:buClrTx/>
            <a:buSzTx/>
            <a:buFontTx/>
            <a:buNone/>
            <a:tabLst/>
            <a:defRPr/>
          </a:pPr>
          <a:r>
            <a:rPr lang="lt-LT" sz="1100" b="0"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rPr>
            <a:t>1. </a:t>
          </a:r>
          <a:r>
            <a:rPr lang="lt-LT" sz="1100" b="0">
              <a:solidFill>
                <a:srgbClr val="808080"/>
              </a:solidFill>
              <a:effectLst/>
              <a:latin typeface="+mn-lt"/>
              <a:ea typeface="+mn-ea"/>
              <a:cs typeface="+mn-cs"/>
            </a:rPr>
            <a:t>Skaičiuoklės rezultatai yra </a:t>
          </a:r>
          <a:r>
            <a:rPr lang="en-US" sz="1100" b="0" u="sng">
              <a:solidFill>
                <a:srgbClr val="808080"/>
              </a:solidFill>
              <a:effectLst/>
              <a:latin typeface="+mn-lt"/>
              <a:ea typeface="+mn-ea"/>
              <a:cs typeface="+mn-cs"/>
            </a:rPr>
            <a:t>apytiksliai</a:t>
          </a:r>
          <a:r>
            <a:rPr lang="lt-LT" sz="1100" b="0">
              <a:solidFill>
                <a:srgbClr val="808080"/>
              </a:solidFill>
              <a:effectLst/>
              <a:latin typeface="+mn-lt"/>
              <a:ea typeface="+mn-ea"/>
              <a:cs typeface="+mn-cs"/>
            </a:rPr>
            <a:t>.</a:t>
          </a:r>
          <a:endParaRPr lang="lt-LT" sz="1100" b="0" kern="100">
            <a:solidFill>
              <a:srgbClr val="808080"/>
            </a:solidFill>
            <a:effectLst/>
            <a:latin typeface="Calibri" panose="020F0502020204030204" pitchFamily="34" charset="0"/>
            <a:ea typeface="Calibri" panose="020F0502020204030204" pitchFamily="34" charset="0"/>
            <a:cs typeface="Times New Roman" panose="02020603050405020304" pitchFamily="18" charset="0"/>
          </a:endParaRPr>
        </a:p>
        <a:p>
          <a:pPr>
            <a:spcAft>
              <a:spcPts val="400"/>
            </a:spcAft>
          </a:pPr>
          <a:r>
            <a:rPr lang="lt-LT" sz="1100">
              <a:solidFill>
                <a:srgbClr val="808080"/>
              </a:solidFill>
              <a:effectLst/>
              <a:latin typeface="+mn-lt"/>
              <a:ea typeface="+mn-ea"/>
              <a:cs typeface="+mn-cs"/>
            </a:rPr>
            <a:t>2. Teigiama oro</a:t>
          </a:r>
          <a:r>
            <a:rPr lang="lt-LT" sz="1100" baseline="0">
              <a:solidFill>
                <a:srgbClr val="808080"/>
              </a:solidFill>
              <a:effectLst/>
              <a:latin typeface="+mn-lt"/>
              <a:ea typeface="+mn-ea"/>
              <a:cs typeface="+mn-cs"/>
            </a:rPr>
            <a:t> teršalų</a:t>
          </a:r>
          <a:r>
            <a:rPr lang="lt-LT" sz="1100">
              <a:solidFill>
                <a:srgbClr val="808080"/>
              </a:solidFill>
              <a:effectLst/>
              <a:latin typeface="+mn-lt"/>
              <a:ea typeface="+mn-ea"/>
              <a:cs typeface="+mn-cs"/>
            </a:rPr>
            <a:t>  kiekio sumažinimo reikšmė žymi</a:t>
          </a:r>
          <a:r>
            <a:rPr lang="lt-LT" sz="1100" baseline="0">
              <a:solidFill>
                <a:srgbClr val="808080"/>
              </a:solidFill>
              <a:effectLst/>
              <a:latin typeface="+mn-lt"/>
              <a:ea typeface="+mn-ea"/>
              <a:cs typeface="+mn-cs"/>
            </a:rPr>
            <a:t> teigiamą teisėkūros iniciatyvos poveikį oro taršos sumažinimui.</a:t>
          </a:r>
          <a:endParaRPr lang="lt-LT" sz="1100">
            <a:solidFill>
              <a:srgbClr val="808080"/>
            </a:solidFill>
            <a:effectLst/>
            <a:latin typeface="+mn-lt"/>
            <a:ea typeface="+mn-ea"/>
            <a:cs typeface="+mn-cs"/>
          </a:endParaRPr>
        </a:p>
        <a:p>
          <a:pPr marL="0" marR="0" lvl="0" indent="0" defTabSz="914400" eaLnBrk="1" fontAlgn="auto" latinLnBrk="0" hangingPunct="1">
            <a:lnSpc>
              <a:spcPct val="100000"/>
            </a:lnSpc>
            <a:spcBef>
              <a:spcPts val="0"/>
            </a:spcBef>
            <a:spcAft>
              <a:spcPts val="400"/>
            </a:spcAft>
            <a:buClrTx/>
            <a:buSzTx/>
            <a:buFontTx/>
            <a:buNone/>
            <a:tabLst/>
            <a:defRPr/>
          </a:pPr>
          <a:r>
            <a:rPr lang="lt-LT" sz="1100">
              <a:solidFill>
                <a:srgbClr val="808080"/>
              </a:solidFill>
              <a:effectLst/>
              <a:latin typeface="+mn-lt"/>
              <a:ea typeface="+mn-ea"/>
              <a:cs typeface="+mn-cs"/>
            </a:rPr>
            <a:t>3. Neigiama oro</a:t>
          </a:r>
          <a:r>
            <a:rPr lang="lt-LT" sz="1100" baseline="0">
              <a:solidFill>
                <a:srgbClr val="808080"/>
              </a:solidFill>
              <a:effectLst/>
              <a:latin typeface="+mn-lt"/>
              <a:ea typeface="+mn-ea"/>
              <a:cs typeface="+mn-cs"/>
            </a:rPr>
            <a:t> teršalų</a:t>
          </a:r>
          <a:r>
            <a:rPr lang="lt-LT" sz="1100">
              <a:solidFill>
                <a:srgbClr val="808080"/>
              </a:solidFill>
              <a:effectLst/>
              <a:latin typeface="+mn-lt"/>
              <a:ea typeface="+mn-ea"/>
              <a:cs typeface="+mn-cs"/>
            </a:rPr>
            <a:t>  kiekio sumažinimo reikšmė žymi</a:t>
          </a:r>
          <a:r>
            <a:rPr lang="lt-LT" sz="1100" baseline="0">
              <a:solidFill>
                <a:srgbClr val="808080"/>
              </a:solidFill>
              <a:effectLst/>
              <a:latin typeface="+mn-lt"/>
              <a:ea typeface="+mn-ea"/>
              <a:cs typeface="+mn-cs"/>
            </a:rPr>
            <a:t> neigiamą teisėkūros iniciatyvos poveikį oro taršos sumažinimui.</a:t>
          </a:r>
          <a:endParaRPr lang="lt-LT" sz="1100">
            <a:solidFill>
              <a:srgbClr val="808080"/>
            </a:solidFill>
            <a:effectLst/>
            <a:latin typeface="+mn-lt"/>
            <a:ea typeface="+mn-ea"/>
            <a:cs typeface="+mn-cs"/>
          </a:endParaRPr>
        </a:p>
        <a:p>
          <a:pPr marL="0" marR="0" lvl="0" indent="0" defTabSz="914400" eaLnBrk="1" fontAlgn="auto" latinLnBrk="0" hangingPunct="1">
            <a:lnSpc>
              <a:spcPct val="100000"/>
            </a:lnSpc>
            <a:spcBef>
              <a:spcPts val="0"/>
            </a:spcBef>
            <a:spcAft>
              <a:spcPts val="400"/>
            </a:spcAft>
            <a:buClrTx/>
            <a:buSzTx/>
            <a:buFontTx/>
            <a:buNone/>
            <a:tabLst/>
            <a:defRPr/>
          </a:pPr>
          <a:r>
            <a:rPr lang="lt-LT" sz="1100">
              <a:solidFill>
                <a:srgbClr val="808080"/>
              </a:solidFill>
              <a:effectLst/>
              <a:latin typeface="+mn-lt"/>
              <a:ea typeface="+mn-ea"/>
              <a:cs typeface="+mn-cs"/>
            </a:rPr>
            <a:t>4. Jei  oro</a:t>
          </a:r>
          <a:r>
            <a:rPr lang="lt-LT" sz="1100" baseline="0">
              <a:solidFill>
                <a:srgbClr val="808080"/>
              </a:solidFill>
              <a:effectLst/>
              <a:latin typeface="+mn-lt"/>
              <a:ea typeface="+mn-ea"/>
              <a:cs typeface="+mn-cs"/>
            </a:rPr>
            <a:t> teršalų</a:t>
          </a:r>
          <a:r>
            <a:rPr lang="lt-LT" sz="1100">
              <a:solidFill>
                <a:srgbClr val="808080"/>
              </a:solidFill>
              <a:effectLst/>
              <a:latin typeface="+mn-lt"/>
              <a:ea typeface="+mn-ea"/>
              <a:cs typeface="+mn-cs"/>
            </a:rPr>
            <a:t> kiekio sumažinimo reikšmė</a:t>
          </a:r>
          <a:r>
            <a:rPr lang="lt-LT" sz="1100" baseline="0">
              <a:solidFill>
                <a:srgbClr val="808080"/>
              </a:solidFill>
              <a:effectLst/>
              <a:latin typeface="+mn-lt"/>
              <a:ea typeface="+mn-ea"/>
              <a:cs typeface="+mn-cs"/>
            </a:rPr>
            <a:t> </a:t>
          </a:r>
          <a:r>
            <a:rPr lang="lt-LT" sz="1100">
              <a:solidFill>
                <a:srgbClr val="808080"/>
              </a:solidFill>
              <a:effectLst/>
              <a:latin typeface="+mn-lt"/>
              <a:ea typeface="+mn-ea"/>
              <a:cs typeface="+mn-cs"/>
            </a:rPr>
            <a:t>&lt; 0</a:t>
          </a:r>
          <a:r>
            <a:rPr lang="lt-LT" sz="1100" baseline="0">
              <a:solidFill>
                <a:srgbClr val="808080"/>
              </a:solidFill>
              <a:effectLst/>
              <a:latin typeface="+mn-lt"/>
              <a:ea typeface="+mn-ea"/>
              <a:cs typeface="+mn-cs"/>
            </a:rPr>
            <a:t> per vienerius </a:t>
          </a:r>
          <a:r>
            <a:rPr lang="en-US" sz="1100">
              <a:solidFill>
                <a:srgbClr val="808080"/>
              </a:solidFill>
              <a:effectLst/>
              <a:latin typeface="+mn-lt"/>
              <a:ea typeface="+mn-ea"/>
              <a:cs typeface="+mn-cs"/>
            </a:rPr>
            <a:t>metus, laikoma</a:t>
          </a:r>
          <a:r>
            <a:rPr lang="lt-LT" sz="1100">
              <a:solidFill>
                <a:srgbClr val="808080"/>
              </a:solidFill>
              <a:effectLst/>
              <a:latin typeface="+mn-lt"/>
              <a:ea typeface="+mn-ea"/>
              <a:cs typeface="+mn-cs"/>
            </a:rPr>
            <a:t>,</a:t>
          </a:r>
          <a:r>
            <a:rPr lang="en-US" sz="1100">
              <a:solidFill>
                <a:srgbClr val="808080"/>
              </a:solidFill>
              <a:effectLst/>
              <a:latin typeface="+mn-lt"/>
              <a:ea typeface="+mn-ea"/>
              <a:cs typeface="+mn-cs"/>
            </a:rPr>
            <a:t> kad </a:t>
          </a:r>
          <a:r>
            <a:rPr lang="lt-LT" sz="1100" baseline="0">
              <a:solidFill>
                <a:srgbClr val="808080"/>
              </a:solidFill>
              <a:effectLst/>
              <a:latin typeface="+mn-lt"/>
              <a:ea typeface="+mn-ea"/>
              <a:cs typeface="+mn-cs"/>
            </a:rPr>
            <a:t>teisėkūros iniciatyvos oro taršos sumažinimui yra reikšmingai neigiamas.</a:t>
          </a:r>
        </a:p>
        <a:p>
          <a:pPr marL="0" marR="0" lvl="0" indent="0" defTabSz="914400" eaLnBrk="1" fontAlgn="auto" latinLnBrk="0" hangingPunct="1">
            <a:lnSpc>
              <a:spcPct val="100000"/>
            </a:lnSpc>
            <a:spcBef>
              <a:spcPts val="0"/>
            </a:spcBef>
            <a:spcAft>
              <a:spcPts val="400"/>
            </a:spcAft>
            <a:buClrTx/>
            <a:buSzTx/>
            <a:buFontTx/>
            <a:buNone/>
            <a:tabLst/>
            <a:defRPr/>
          </a:pPr>
          <a:r>
            <a:rPr lang="lt-LT" sz="1100" baseline="0">
              <a:solidFill>
                <a:srgbClr val="808080"/>
              </a:solidFill>
              <a:effectLst/>
              <a:latin typeface="+mn-lt"/>
              <a:ea typeface="+mn-ea"/>
              <a:cs typeface="+mn-cs"/>
            </a:rPr>
            <a:t>5. </a:t>
          </a:r>
          <a:r>
            <a:rPr lang="lt-LT" sz="1100">
              <a:solidFill>
                <a:srgbClr val="808080"/>
              </a:solidFill>
              <a:effectLst/>
              <a:latin typeface="+mn-lt"/>
              <a:ea typeface="+mn-ea"/>
              <a:cs typeface="+mn-cs"/>
            </a:rPr>
            <a:t>Jei  oro teršalų kiekio sumažinimo reikšmė</a:t>
          </a:r>
          <a:r>
            <a:rPr lang="lt-LT" sz="1100" baseline="0">
              <a:solidFill>
                <a:srgbClr val="808080"/>
              </a:solidFill>
              <a:effectLst/>
              <a:latin typeface="+mn-lt"/>
              <a:ea typeface="+mn-ea"/>
              <a:cs typeface="+mn-cs"/>
            </a:rPr>
            <a:t> &gt; 0 per </a:t>
          </a:r>
          <a:r>
            <a:rPr lang="en-US" sz="1100">
              <a:solidFill>
                <a:srgbClr val="808080"/>
              </a:solidFill>
              <a:effectLst/>
              <a:latin typeface="+mn-lt"/>
              <a:ea typeface="+mn-ea"/>
              <a:cs typeface="+mn-cs"/>
            </a:rPr>
            <a:t>metus, laikoma</a:t>
          </a:r>
          <a:r>
            <a:rPr lang="lt-LT" sz="1100">
              <a:solidFill>
                <a:srgbClr val="808080"/>
              </a:solidFill>
              <a:effectLst/>
              <a:latin typeface="+mn-lt"/>
              <a:ea typeface="+mn-ea"/>
              <a:cs typeface="+mn-cs"/>
            </a:rPr>
            <a:t>,</a:t>
          </a:r>
          <a:r>
            <a:rPr lang="en-US" sz="1100">
              <a:solidFill>
                <a:srgbClr val="808080"/>
              </a:solidFill>
              <a:effectLst/>
              <a:latin typeface="+mn-lt"/>
              <a:ea typeface="+mn-ea"/>
              <a:cs typeface="+mn-cs"/>
            </a:rPr>
            <a:t> kad </a:t>
          </a:r>
          <a:r>
            <a:rPr lang="lt-LT" sz="1100" baseline="0">
              <a:solidFill>
                <a:srgbClr val="808080"/>
              </a:solidFill>
              <a:effectLst/>
              <a:latin typeface="+mn-lt"/>
              <a:ea typeface="+mn-ea"/>
              <a:cs typeface="+mn-cs"/>
            </a:rPr>
            <a:t>teisėkūros iniciatyvos poveikis oro taršo sumažinimui yra reikšmingai </a:t>
          </a:r>
          <a:r>
            <a:rPr lang="en-US" sz="1100" baseline="0">
              <a:solidFill>
                <a:srgbClr val="808080"/>
              </a:solidFill>
              <a:effectLst/>
              <a:latin typeface="+mn-lt"/>
              <a:ea typeface="+mn-ea"/>
              <a:cs typeface="+mn-cs"/>
            </a:rPr>
            <a:t>teigiamas.</a:t>
          </a:r>
          <a:endParaRPr lang="lt-LT" sz="1100" baseline="0">
            <a:solidFill>
              <a:srgbClr val="808080"/>
            </a:solidFill>
            <a:effectLst/>
            <a:latin typeface="+mn-lt"/>
            <a:ea typeface="+mn-ea"/>
            <a:cs typeface="+mn-cs"/>
          </a:endParaRPr>
        </a:p>
        <a:p>
          <a:pPr marL="0" marR="0" lvl="0" indent="0" defTabSz="914400" eaLnBrk="1" fontAlgn="auto" latinLnBrk="0" hangingPunct="1">
            <a:lnSpc>
              <a:spcPct val="100000"/>
            </a:lnSpc>
            <a:spcBef>
              <a:spcPts val="0"/>
            </a:spcBef>
            <a:spcAft>
              <a:spcPts val="400"/>
            </a:spcAft>
            <a:buClrTx/>
            <a:buSzTx/>
            <a:buFontTx/>
            <a:buNone/>
            <a:tabLst/>
            <a:defRPr/>
          </a:pPr>
          <a:endParaRPr lang="lt-LT">
            <a:solidFill>
              <a:srgbClr val="808080"/>
            </a:solidFill>
            <a:effectLst/>
          </a:endParaRPr>
        </a:p>
        <a:p>
          <a:pPr>
            <a:spcAft>
              <a:spcPts val="400"/>
            </a:spcAft>
          </a:pPr>
          <a:endParaRPr lang="lt-LT">
            <a:solidFill>
              <a:srgbClr val="808080"/>
            </a:solidFill>
            <a:effectLst/>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Agnė Skeirytė" id="{D8CC2966-AF1B-4AED-BDA0-9B44393E2F8D}" userId="S::agne.skeiryte@gamta.lt::b57617ae-5765-4514-bd55-17648b5df142" providerId="AD"/>
</personList>
</file>

<file path=xl/theme/theme1.xml><?xml version="1.0" encoding="utf-8"?>
<a:theme xmlns:a="http://schemas.openxmlformats.org/drawingml/2006/main" name="aaa tema">
  <a:themeElements>
    <a:clrScheme name="AAA">
      <a:dk1>
        <a:srgbClr val="8FCEA5"/>
      </a:dk1>
      <a:lt1>
        <a:srgbClr val="44C8F5"/>
      </a:lt1>
      <a:dk2>
        <a:srgbClr val="A5D8B7"/>
      </a:dk2>
      <a:lt2>
        <a:srgbClr val="BCE2C9"/>
      </a:lt2>
      <a:accent1>
        <a:srgbClr val="D2EBDB"/>
      </a:accent1>
      <a:accent2>
        <a:srgbClr val="E9F5ED"/>
      </a:accent2>
      <a:accent3>
        <a:srgbClr val="F4FAF6"/>
      </a:accent3>
      <a:accent4>
        <a:srgbClr val="6DCFF6"/>
      </a:accent4>
      <a:accent5>
        <a:srgbClr val="94D9F8"/>
      </a:accent5>
      <a:accent6>
        <a:srgbClr val="B6E4FA"/>
      </a:accent6>
      <a:hlink>
        <a:srgbClr val="DAF4FD"/>
      </a:hlink>
      <a:folHlink>
        <a:srgbClr val="EFF9FE"/>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47" dT="2023-11-29T06:46:13.45" personId="{D8CC2966-AF1B-4AED-BDA0-9B44393E2F8D}" id="{03C97F24-CB78-47D2-9F59-B5D4B5B1F8E3}">
    <text>bazinės emisijos = EF*TP kiekis*rida per metus</text>
  </threadedComment>
  <threadedComment ref="M47" dT="2023-11-29T06:46:46.36" personId="{D8CC2966-AF1B-4AED-BDA0-9B44393E2F8D}" id="{39C771BB-17B4-437C-926F-C12E3D41D82B}">
    <text>projektinės emisijos = EF*TP kiekis*rida per metus</text>
  </threadedComment>
  <threadedComment ref="N47" dT="2023-11-24T07:21:53.43" personId="{D8CC2966-AF1B-4AED-BDA0-9B44393E2F8D}" id="{AB515D83-BDDC-4FE1-ABDC-B3C6E311AC35}">
    <text>Skirtumas paverčiamas į kg,
paverčiama į kt,
padauginama iš metų kiekio/laikotarpio
sumažinimas = bazinė emisija - projektinė emisija</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0EF0A-3C3A-43E2-B95F-4D71B58C0E1C}">
  <dimension ref="B1:Y42"/>
  <sheetViews>
    <sheetView tabSelected="1" zoomScale="70" zoomScaleNormal="70" workbookViewId="0">
      <selection activeCell="Q44" sqref="Q44"/>
    </sheetView>
  </sheetViews>
  <sheetFormatPr defaultColWidth="9.140625" defaultRowHeight="15"/>
  <cols>
    <col min="1" max="5" width="9.140625" style="1"/>
    <col min="6" max="6" width="7.85546875" style="1" customWidth="1"/>
    <col min="7" max="15" width="8.7109375" style="1" bestFit="1" customWidth="1"/>
    <col min="16" max="16" width="20.42578125" style="1" customWidth="1"/>
    <col min="17" max="16384" width="9.140625" style="1"/>
  </cols>
  <sheetData>
    <row r="1" spans="2:22" ht="15" customHeight="1">
      <c r="R1" s="70"/>
      <c r="S1" s="71"/>
      <c r="T1" s="71"/>
      <c r="U1" s="71"/>
      <c r="V1" s="71"/>
    </row>
    <row r="2" spans="2:22" ht="15" customHeight="1">
      <c r="R2" s="71"/>
      <c r="S2" s="71"/>
      <c r="T2" s="71"/>
      <c r="U2" s="71"/>
      <c r="V2" s="71"/>
    </row>
    <row r="3" spans="2:22" ht="18.75" customHeight="1">
      <c r="E3" s="42"/>
      <c r="F3" s="43"/>
      <c r="G3" s="43"/>
      <c r="H3" s="43"/>
      <c r="I3" s="43"/>
      <c r="J3" s="43"/>
      <c r="K3" s="43"/>
      <c r="L3" s="43"/>
      <c r="M3" s="43"/>
      <c r="N3" s="43"/>
      <c r="O3" s="43"/>
      <c r="P3" s="43"/>
      <c r="R3" s="71"/>
      <c r="S3" s="71"/>
      <c r="T3" s="71"/>
      <c r="U3" s="71"/>
      <c r="V3" s="71"/>
    </row>
    <row r="4" spans="2:22" ht="15" customHeight="1">
      <c r="R4" s="71"/>
      <c r="S4" s="71"/>
      <c r="T4" s="71"/>
      <c r="U4" s="71"/>
      <c r="V4" s="71"/>
    </row>
    <row r="5" spans="2:22" ht="15" customHeight="1">
      <c r="R5" s="71"/>
      <c r="S5" s="71"/>
      <c r="T5" s="71"/>
      <c r="U5" s="71"/>
      <c r="V5" s="71"/>
    </row>
    <row r="9" spans="2:22" ht="18.75">
      <c r="B9" s="44"/>
      <c r="C9" s="44"/>
      <c r="D9" s="45"/>
      <c r="E9" s="46"/>
      <c r="I9" s="47"/>
      <c r="K9" s="48"/>
    </row>
    <row r="15" spans="2:22" ht="18.75">
      <c r="J15" s="49"/>
      <c r="N15" s="48"/>
    </row>
    <row r="16" spans="2:22" ht="18.75">
      <c r="H16" s="49"/>
    </row>
    <row r="18" spans="2:25" ht="15.75">
      <c r="B18" s="44"/>
      <c r="C18" s="44"/>
      <c r="D18" s="44"/>
    </row>
    <row r="21" spans="2:25" ht="18.75">
      <c r="E21" s="48"/>
    </row>
    <row r="25" spans="2:25" ht="18.75">
      <c r="G25" s="49"/>
    </row>
    <row r="27" spans="2:25" ht="18.75">
      <c r="C27" s="50"/>
      <c r="H27" s="48"/>
    </row>
    <row r="29" spans="2:25">
      <c r="E29" s="51"/>
      <c r="F29" s="51"/>
      <c r="G29" s="51"/>
      <c r="H29" s="51"/>
      <c r="I29" s="51"/>
      <c r="J29" s="51"/>
      <c r="K29" s="51"/>
      <c r="L29" s="51"/>
      <c r="M29" s="51"/>
      <c r="N29" s="51"/>
      <c r="O29" s="51"/>
      <c r="P29" s="51"/>
      <c r="Q29" s="73"/>
      <c r="R29" s="74"/>
      <c r="S29" s="75"/>
      <c r="T29" s="75"/>
      <c r="U29" s="75"/>
      <c r="V29" s="73"/>
      <c r="W29" s="76"/>
      <c r="X29" s="73"/>
      <c r="Y29" s="76"/>
    </row>
    <row r="30" spans="2:25">
      <c r="E30" s="51"/>
      <c r="F30" s="51"/>
      <c r="G30" s="51"/>
      <c r="H30" s="51"/>
      <c r="I30" s="51"/>
      <c r="J30" s="51"/>
      <c r="K30" s="51"/>
      <c r="L30" s="51"/>
      <c r="M30" s="51"/>
      <c r="N30" s="51"/>
      <c r="O30" s="51"/>
      <c r="P30" s="51"/>
      <c r="Q30" s="73"/>
      <c r="R30" s="74"/>
      <c r="S30" s="75"/>
      <c r="T30" s="75"/>
      <c r="U30" s="75"/>
      <c r="V30" s="75"/>
      <c r="W30" s="75"/>
      <c r="X30" s="77"/>
      <c r="Y30" s="77"/>
    </row>
    <row r="31" spans="2:25">
      <c r="E31" s="51"/>
      <c r="F31" s="51"/>
      <c r="G31" s="51"/>
      <c r="H31" s="51"/>
      <c r="I31" s="51"/>
      <c r="J31" s="51"/>
      <c r="K31" s="51"/>
      <c r="L31" s="51"/>
      <c r="M31" s="51"/>
      <c r="N31" s="51"/>
      <c r="O31" s="51"/>
      <c r="P31" s="51"/>
      <c r="Q31" s="77"/>
      <c r="R31" s="77"/>
      <c r="S31" s="75"/>
      <c r="T31" s="75"/>
      <c r="U31" s="75"/>
      <c r="V31" s="75"/>
      <c r="W31" s="75"/>
      <c r="X31" s="77"/>
      <c r="Y31" s="77"/>
    </row>
    <row r="32" spans="2:25">
      <c r="E32" s="51"/>
      <c r="F32" s="51"/>
      <c r="G32" s="51"/>
      <c r="H32" s="51"/>
      <c r="I32" s="51"/>
      <c r="J32" s="51"/>
      <c r="K32" s="51"/>
      <c r="L32" s="51"/>
      <c r="M32" s="51"/>
      <c r="N32" s="51"/>
      <c r="O32" s="51"/>
      <c r="P32" s="51"/>
      <c r="Q32" s="77"/>
      <c r="R32" s="77"/>
      <c r="S32" s="75"/>
      <c r="T32" s="75"/>
      <c r="U32" s="75"/>
      <c r="V32" s="75"/>
      <c r="W32" s="75"/>
      <c r="X32" s="77"/>
      <c r="Y32" s="77"/>
    </row>
    <row r="33" spans="2:25">
      <c r="E33" s="51"/>
      <c r="F33" s="51"/>
      <c r="G33" s="51"/>
      <c r="H33" s="51"/>
      <c r="I33" s="51"/>
      <c r="J33" s="51"/>
      <c r="K33" s="51"/>
      <c r="L33" s="51"/>
      <c r="M33" s="51"/>
      <c r="N33" s="51"/>
      <c r="O33" s="51"/>
      <c r="P33" s="51"/>
      <c r="Q33" s="75"/>
      <c r="R33" s="75"/>
      <c r="S33" s="75"/>
      <c r="T33" s="75"/>
      <c r="U33" s="77"/>
      <c r="V33" s="77"/>
      <c r="W33" s="77"/>
      <c r="X33" s="77"/>
      <c r="Y33" s="77"/>
    </row>
    <row r="34" spans="2:25">
      <c r="E34" s="51"/>
      <c r="F34" s="51"/>
      <c r="G34" s="51"/>
      <c r="H34" s="51"/>
      <c r="I34" s="51"/>
      <c r="J34" s="51"/>
      <c r="K34" s="51"/>
      <c r="L34" s="51"/>
      <c r="M34" s="51"/>
      <c r="N34" s="51"/>
      <c r="O34" s="51"/>
      <c r="P34" s="51"/>
      <c r="Q34" s="77"/>
      <c r="R34" s="77"/>
      <c r="S34" s="77"/>
      <c r="T34" s="77"/>
      <c r="U34" s="77"/>
      <c r="V34" s="77"/>
      <c r="W34" s="77"/>
      <c r="X34" s="77"/>
      <c r="Y34" s="77"/>
    </row>
    <row r="35" spans="2:25">
      <c r="E35" s="51"/>
      <c r="F35" s="51"/>
      <c r="G35" s="51"/>
      <c r="H35" s="51"/>
      <c r="I35" s="51"/>
      <c r="J35" s="51"/>
      <c r="K35" s="51"/>
      <c r="L35" s="51"/>
      <c r="M35" s="51"/>
      <c r="N35" s="51"/>
      <c r="O35" s="51"/>
      <c r="P35" s="51"/>
      <c r="Q35" s="75"/>
      <c r="R35" s="75"/>
      <c r="S35" s="77"/>
      <c r="T35" s="77"/>
      <c r="U35" s="77"/>
      <c r="V35" s="77"/>
      <c r="W35" s="78"/>
      <c r="X35" s="77"/>
      <c r="Y35" s="77"/>
    </row>
    <row r="36" spans="2:25">
      <c r="E36" s="51"/>
      <c r="F36" s="51"/>
      <c r="G36" s="51"/>
      <c r="H36" s="51"/>
      <c r="I36" s="51"/>
      <c r="J36" s="51"/>
      <c r="K36" s="51"/>
      <c r="L36" s="51"/>
      <c r="M36" s="51"/>
      <c r="N36" s="51"/>
      <c r="O36" s="51"/>
      <c r="P36" s="51"/>
      <c r="Q36" s="77"/>
      <c r="R36" s="77"/>
      <c r="S36" s="77"/>
      <c r="T36" s="77"/>
      <c r="U36" s="77"/>
      <c r="V36" s="77"/>
      <c r="W36" s="77"/>
      <c r="X36" s="77"/>
      <c r="Y36" s="77"/>
    </row>
    <row r="37" spans="2:25">
      <c r="E37" s="51"/>
      <c r="F37" s="51"/>
      <c r="G37" s="51"/>
      <c r="H37" s="51"/>
      <c r="I37" s="51"/>
      <c r="J37" s="51"/>
      <c r="K37" s="51"/>
      <c r="L37" s="51"/>
      <c r="M37" s="51"/>
      <c r="N37" s="51"/>
      <c r="O37" s="51"/>
      <c r="P37" s="51"/>
      <c r="Q37" s="77"/>
      <c r="R37" s="77"/>
      <c r="S37" s="77"/>
      <c r="T37" s="77"/>
      <c r="U37" s="77"/>
      <c r="V37" s="77"/>
      <c r="W37" s="79"/>
      <c r="X37" s="77"/>
      <c r="Y37" s="77"/>
    </row>
    <row r="38" spans="2:25">
      <c r="E38" s="51"/>
      <c r="F38" s="51"/>
      <c r="G38" s="51"/>
      <c r="H38" s="51"/>
      <c r="I38" s="51"/>
      <c r="J38" s="51"/>
      <c r="K38" s="51"/>
      <c r="L38" s="51"/>
      <c r="M38" s="51"/>
      <c r="N38" s="51"/>
      <c r="O38" s="51"/>
      <c r="P38" s="51"/>
      <c r="Q38" s="77"/>
      <c r="R38" s="77"/>
      <c r="S38" s="77"/>
      <c r="T38" s="77"/>
      <c r="U38" s="77"/>
      <c r="V38" s="77"/>
      <c r="W38" s="77"/>
      <c r="X38" s="77"/>
      <c r="Y38" s="77"/>
    </row>
    <row r="39" spans="2:25">
      <c r="E39" s="51"/>
      <c r="F39" s="51"/>
      <c r="G39" s="51"/>
      <c r="H39" s="51"/>
      <c r="I39" s="51"/>
      <c r="J39" s="51"/>
      <c r="K39" s="51"/>
      <c r="L39" s="51"/>
      <c r="M39" s="51"/>
      <c r="N39" s="51"/>
      <c r="O39" s="51"/>
      <c r="P39" s="51"/>
      <c r="R39" s="77"/>
      <c r="S39" s="77"/>
      <c r="T39" s="77"/>
      <c r="U39" s="77"/>
      <c r="V39" s="77"/>
      <c r="W39" s="80"/>
      <c r="X39" s="77"/>
      <c r="Y39" s="77"/>
    </row>
    <row r="40" spans="2:25" ht="18.75">
      <c r="B40" s="48"/>
      <c r="E40" s="41"/>
      <c r="F40" s="41"/>
      <c r="G40" s="41"/>
      <c r="H40" s="41"/>
      <c r="I40" s="41"/>
      <c r="J40" s="41"/>
      <c r="K40" s="41"/>
      <c r="L40" s="41"/>
      <c r="M40" s="41"/>
      <c r="N40" s="41"/>
      <c r="O40" s="41"/>
      <c r="P40" s="41"/>
    </row>
    <row r="41" spans="2:25">
      <c r="E41" s="41"/>
      <c r="F41" s="41"/>
      <c r="G41" s="41"/>
      <c r="H41" s="41"/>
      <c r="I41" s="41"/>
      <c r="J41" s="41"/>
      <c r="K41" s="41"/>
      <c r="L41" s="41"/>
      <c r="M41" s="41"/>
      <c r="N41" s="41"/>
      <c r="O41" s="41"/>
      <c r="P41" s="41"/>
    </row>
    <row r="42" spans="2:25">
      <c r="E42" s="41"/>
      <c r="F42" s="41"/>
      <c r="G42" s="41"/>
      <c r="H42" s="41"/>
      <c r="I42" s="41"/>
      <c r="J42" s="41"/>
      <c r="K42" s="41"/>
      <c r="L42" s="41"/>
      <c r="M42" s="41"/>
      <c r="N42" s="41"/>
      <c r="O42" s="41"/>
      <c r="P42" s="41"/>
    </row>
  </sheetData>
  <sheetProtection algorithmName="SHA-512" hashValue="kTwl1kBo24oEsqPZdLChfvU44Z6hKMD6pb6uQEvoEJW6pkMjVYaQruE+XpQvOAt3x0aXbUjPkmzIRuZ0ElCdtQ==" saltValue="jhKF2VR4RWpFD6tlUr6Ad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5F92B-8B3A-4E35-8640-FF6E1FC530EC}">
  <dimension ref="A1"/>
  <sheetViews>
    <sheetView zoomScale="70" zoomScaleNormal="70" workbookViewId="0">
      <selection activeCell="Q4" sqref="Q4"/>
    </sheetView>
  </sheetViews>
  <sheetFormatPr defaultColWidth="9.140625" defaultRowHeight="15"/>
  <cols>
    <col min="1" max="16384" width="9.140625" style="1"/>
  </cols>
  <sheetData/>
  <sheetProtection algorithmName="SHA-512" hashValue="6MimYtt0dWEmXkhtRSPqqp/qf8+s3582MdmaST+97RoOgPegMltGQr73iQGWUORaGPp8EJgAwMhFtxzDCRCoqw==" saltValue="8KvLw/kX/hsOutWtjp39w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E038A-6A61-4E7C-A9D2-58877A7DAF53}">
  <sheetPr>
    <pageSetUpPr fitToPage="1"/>
  </sheetPr>
  <dimension ref="B2:CG214"/>
  <sheetViews>
    <sheetView zoomScale="70" zoomScaleNormal="70" workbookViewId="0">
      <selection activeCell="Z206" sqref="Z206"/>
    </sheetView>
  </sheetViews>
  <sheetFormatPr defaultColWidth="9.140625" defaultRowHeight="15"/>
  <cols>
    <col min="1" max="3" width="9.140625" style="1"/>
    <col min="4" max="4" width="9.140625" style="1" customWidth="1"/>
    <col min="5" max="5" width="2.5703125" style="1" customWidth="1"/>
    <col min="6" max="8" width="9.140625" style="1"/>
    <col min="9" max="9" width="24.85546875" style="1" customWidth="1"/>
    <col min="10" max="10" width="12.7109375" style="1" customWidth="1"/>
    <col min="11" max="11" width="12.5703125" style="1" customWidth="1"/>
    <col min="12" max="12" width="13.85546875" style="1" customWidth="1"/>
    <col min="13" max="15" width="12.5703125" style="1" customWidth="1"/>
    <col min="16" max="16" width="15" style="1" bestFit="1" customWidth="1"/>
    <col min="17" max="17" width="2.5703125" style="1" customWidth="1"/>
    <col min="18" max="26" width="9.140625" style="1"/>
    <col min="27" max="28" width="13.7109375" style="1" bestFit="1" customWidth="1"/>
    <col min="29" max="29" width="14.42578125" style="1" bestFit="1" customWidth="1"/>
    <col min="30" max="30" width="13.140625" style="1" bestFit="1" customWidth="1"/>
    <col min="31" max="42" width="9.140625" style="1"/>
    <col min="43" max="43" width="13" style="1" customWidth="1"/>
    <col min="44" max="44" width="16.140625" style="1" customWidth="1"/>
    <col min="45" max="54" width="9.140625" style="1"/>
    <col min="55" max="56" width="13.7109375" style="1" bestFit="1" customWidth="1"/>
    <col min="57" max="58" width="12.140625" style="1" customWidth="1"/>
    <col min="59" max="68" width="9.140625" style="1"/>
    <col min="69" max="70" width="13.7109375" style="1" bestFit="1" customWidth="1"/>
    <col min="71" max="71" width="12.5703125" style="1" customWidth="1"/>
    <col min="72" max="72" width="12.85546875" style="1" customWidth="1"/>
    <col min="73" max="73" width="9.7109375" style="1" customWidth="1"/>
    <col min="74" max="79" width="9.140625" style="1"/>
    <col min="80" max="81" width="13.7109375" style="1" bestFit="1" customWidth="1"/>
    <col min="82" max="82" width="12.5703125" style="1" customWidth="1"/>
    <col min="83" max="83" width="13.42578125" style="1" customWidth="1"/>
    <col min="84" max="16384" width="9.140625" style="1"/>
  </cols>
  <sheetData>
    <row r="2" spans="2:26">
      <c r="E2" s="30"/>
      <c r="F2" s="29"/>
      <c r="G2" s="29"/>
      <c r="H2" s="29"/>
      <c r="I2" s="29"/>
      <c r="J2" s="29"/>
      <c r="K2" s="29"/>
      <c r="L2" s="29"/>
      <c r="M2" s="29"/>
      <c r="N2" s="29"/>
      <c r="O2" s="29"/>
      <c r="P2" s="29"/>
      <c r="Q2" s="28"/>
      <c r="R2" s="31"/>
      <c r="S2" s="31"/>
      <c r="T2" s="31"/>
      <c r="U2" s="31"/>
      <c r="V2" s="31"/>
      <c r="W2" s="31"/>
      <c r="X2" s="31"/>
      <c r="Y2" s="31"/>
      <c r="Z2" s="31"/>
    </row>
    <row r="3" spans="2:26">
      <c r="E3" s="23"/>
      <c r="F3" s="135" t="s">
        <v>0</v>
      </c>
      <c r="G3" s="135"/>
      <c r="H3" s="135"/>
      <c r="I3" s="135"/>
      <c r="J3" s="135"/>
      <c r="K3" s="135"/>
      <c r="L3" s="135"/>
      <c r="M3" s="135"/>
      <c r="N3" s="135"/>
      <c r="O3" s="135"/>
      <c r="P3" s="135"/>
      <c r="Q3" s="27"/>
      <c r="R3" s="32"/>
      <c r="S3" s="31"/>
      <c r="T3" s="31"/>
      <c r="U3" s="31"/>
      <c r="V3" s="31"/>
      <c r="W3" s="31"/>
      <c r="X3" s="31"/>
      <c r="Y3" s="31"/>
      <c r="Z3" s="31"/>
    </row>
    <row r="4" spans="2:26">
      <c r="B4" s="26"/>
      <c r="E4" s="23"/>
      <c r="F4" s="136"/>
      <c r="G4" s="136"/>
      <c r="H4" s="136"/>
      <c r="I4" s="136"/>
      <c r="J4" s="136"/>
      <c r="K4" s="136"/>
      <c r="L4" s="136"/>
      <c r="M4" s="136"/>
      <c r="N4" s="136"/>
      <c r="O4" s="136"/>
      <c r="P4" s="136"/>
      <c r="Q4" s="22"/>
      <c r="R4" s="31"/>
      <c r="S4" s="31"/>
      <c r="T4" s="31"/>
      <c r="U4" s="31"/>
      <c r="V4" s="31"/>
      <c r="W4" s="31"/>
      <c r="X4" s="31"/>
      <c r="Y4" s="31"/>
      <c r="Z4" s="31"/>
    </row>
    <row r="5" spans="2:26" ht="16.5" customHeight="1">
      <c r="E5" s="25"/>
      <c r="F5" s="153" t="s">
        <v>1</v>
      </c>
      <c r="G5" s="154"/>
      <c r="H5" s="154"/>
      <c r="I5" s="155"/>
      <c r="J5" s="88" t="s">
        <v>2</v>
      </c>
      <c r="K5" s="89" t="s">
        <v>3</v>
      </c>
      <c r="L5" s="89" t="s">
        <v>4</v>
      </c>
      <c r="M5" s="89" t="s">
        <v>5</v>
      </c>
      <c r="N5" s="89" t="s">
        <v>6</v>
      </c>
      <c r="O5" s="89" t="s">
        <v>7</v>
      </c>
      <c r="P5" s="89" t="s">
        <v>8</v>
      </c>
      <c r="Q5" s="24"/>
      <c r="R5" s="31"/>
      <c r="S5" s="31"/>
      <c r="T5" s="31"/>
      <c r="U5" s="31"/>
      <c r="V5" s="31"/>
      <c r="W5" s="31"/>
      <c r="X5" s="31"/>
      <c r="Y5" s="31"/>
      <c r="Z5" s="31"/>
    </row>
    <row r="6" spans="2:26" ht="27.6" customHeight="1">
      <c r="E6" s="23"/>
      <c r="F6" s="146" t="s">
        <v>9</v>
      </c>
      <c r="G6" s="147"/>
      <c r="H6" s="148"/>
      <c r="I6" s="90" t="s">
        <v>10</v>
      </c>
      <c r="J6" s="91">
        <v>1</v>
      </c>
      <c r="K6" s="92"/>
      <c r="L6" s="93"/>
      <c r="M6" s="93"/>
      <c r="N6" s="93"/>
      <c r="O6" s="93"/>
      <c r="P6" s="94" t="s">
        <v>11</v>
      </c>
      <c r="Q6" s="24"/>
      <c r="R6" s="31"/>
      <c r="S6" s="31"/>
      <c r="T6" s="31"/>
      <c r="U6" s="31"/>
      <c r="V6" s="31"/>
      <c r="W6" s="31"/>
      <c r="X6" s="31"/>
      <c r="Y6" s="31"/>
      <c r="Z6" s="31"/>
    </row>
    <row r="7" spans="2:26" ht="62.25" customHeight="1">
      <c r="E7" s="23"/>
      <c r="F7" s="149" t="s">
        <v>12</v>
      </c>
      <c r="G7" s="149"/>
      <c r="H7" s="150"/>
      <c r="I7" s="95" t="s">
        <v>13</v>
      </c>
      <c r="J7" s="96" t="s">
        <v>14</v>
      </c>
      <c r="K7" s="97" t="s">
        <v>11</v>
      </c>
      <c r="L7" s="97" t="s">
        <v>11</v>
      </c>
      <c r="M7" s="97" t="s">
        <v>11</v>
      </c>
      <c r="N7" s="97" t="s">
        <v>11</v>
      </c>
      <c r="O7" s="97" t="s">
        <v>11</v>
      </c>
      <c r="P7" s="98" t="s">
        <v>11</v>
      </c>
      <c r="Q7" s="22"/>
      <c r="R7" s="31"/>
      <c r="S7" s="31"/>
      <c r="T7" s="31"/>
      <c r="U7" s="31"/>
      <c r="V7" s="31"/>
      <c r="W7" s="31"/>
      <c r="X7" s="31"/>
      <c r="Y7" s="31"/>
      <c r="Z7" s="31"/>
    </row>
    <row r="8" spans="2:26" ht="44.25" customHeight="1">
      <c r="E8" s="23"/>
      <c r="F8" s="151"/>
      <c r="G8" s="151"/>
      <c r="H8" s="152"/>
      <c r="I8" s="99" t="s">
        <v>15</v>
      </c>
      <c r="J8" s="100" t="s">
        <v>16</v>
      </c>
      <c r="K8" s="97" t="s">
        <v>11</v>
      </c>
      <c r="L8" s="97" t="s">
        <v>11</v>
      </c>
      <c r="M8" s="97" t="s">
        <v>11</v>
      </c>
      <c r="N8" s="97" t="s">
        <v>11</v>
      </c>
      <c r="O8" s="97" t="s">
        <v>11</v>
      </c>
      <c r="P8" s="98" t="s">
        <v>11</v>
      </c>
      <c r="Q8" s="22"/>
      <c r="R8" s="31"/>
      <c r="S8" s="31"/>
      <c r="T8" s="31"/>
      <c r="U8" s="31"/>
      <c r="V8" s="31"/>
      <c r="W8" s="31"/>
      <c r="X8" s="31"/>
      <c r="Y8" s="31"/>
      <c r="Z8" s="31"/>
    </row>
    <row r="9" spans="2:26" ht="30" customHeight="1">
      <c r="E9" s="23"/>
      <c r="F9" s="101"/>
      <c r="G9" s="102"/>
      <c r="H9" s="103"/>
      <c r="I9" s="104" t="s">
        <v>17</v>
      </c>
      <c r="J9" s="96" t="s">
        <v>18</v>
      </c>
      <c r="K9" s="97" t="s">
        <v>11</v>
      </c>
      <c r="L9" s="97" t="s">
        <v>11</v>
      </c>
      <c r="M9" s="97" t="s">
        <v>11</v>
      </c>
      <c r="N9" s="97" t="s">
        <v>11</v>
      </c>
      <c r="O9" s="97" t="s">
        <v>11</v>
      </c>
      <c r="P9" s="98" t="s">
        <v>11</v>
      </c>
      <c r="Q9" s="22"/>
      <c r="R9" s="31"/>
      <c r="S9" s="31"/>
      <c r="T9" s="31"/>
      <c r="U9" s="31"/>
      <c r="V9" s="31"/>
      <c r="W9" s="31"/>
      <c r="X9" s="31"/>
      <c r="Y9" s="31"/>
      <c r="Z9" s="31"/>
    </row>
    <row r="10" spans="2:26">
      <c r="E10" s="23"/>
      <c r="F10" s="137" t="s">
        <v>19</v>
      </c>
      <c r="G10" s="138"/>
      <c r="H10" s="139"/>
      <c r="I10" s="105" t="s">
        <v>20</v>
      </c>
      <c r="J10" s="106">
        <v>390260</v>
      </c>
      <c r="K10" s="106"/>
      <c r="L10" s="106"/>
      <c r="M10" s="106"/>
      <c r="N10" s="106"/>
      <c r="O10" s="106"/>
      <c r="P10" s="98" t="s">
        <v>11</v>
      </c>
      <c r="Q10" s="22"/>
      <c r="R10" s="31"/>
      <c r="S10" s="31"/>
      <c r="T10" s="31"/>
      <c r="U10" s="31"/>
      <c r="V10" s="31"/>
      <c r="W10" s="31"/>
      <c r="X10" s="31"/>
      <c r="Y10" s="31"/>
      <c r="Z10" s="31"/>
    </row>
    <row r="11" spans="2:26" ht="15" customHeight="1">
      <c r="E11" s="23"/>
      <c r="F11" s="140"/>
      <c r="G11" s="141"/>
      <c r="H11" s="142"/>
      <c r="I11" s="107" t="s">
        <v>21</v>
      </c>
      <c r="J11" s="108">
        <v>380000</v>
      </c>
      <c r="K11" s="108"/>
      <c r="L11" s="108"/>
      <c r="M11" s="108"/>
      <c r="N11" s="108"/>
      <c r="O11" s="108"/>
      <c r="P11" s="109" t="s">
        <v>11</v>
      </c>
      <c r="Q11" s="24"/>
      <c r="R11" s="31"/>
      <c r="S11" s="31"/>
      <c r="T11" s="31"/>
      <c r="U11" s="31"/>
      <c r="V11" s="31"/>
      <c r="W11" s="31"/>
      <c r="X11" s="31"/>
      <c r="Y11" s="31"/>
      <c r="Z11" s="31"/>
    </row>
    <row r="12" spans="2:26" ht="20.25" customHeight="1">
      <c r="E12" s="23"/>
      <c r="F12" s="143" t="s">
        <v>22</v>
      </c>
      <c r="G12" s="144"/>
      <c r="H12" s="145"/>
      <c r="I12" s="110" t="s">
        <v>23</v>
      </c>
      <c r="J12" s="111" cm="1">
        <f t="array" ref="J12">IF(J6&gt;=1,IF(K23=1,IFERROR(INDEX(N47:N49,J47,COLUMNS(J12)),"-"), IF(K23=2,IFERROR(INDEX(N109:N110,J109,COLUMNS(J12)),"-"), IF(K23=3,IFERROR(INDEX(O145:O149,K145,COLUMNS(J12)),"-"), IF(K23=4, IFERROR(INDEX(P181:P183,L181,COLUMNS(J12)),"-"), IF(K23=5, IFERROR(INDEX(P181:P183,L181,COLUMNS(J12)),"-"),""))))),"-")</f>
        <v>3.3783676560000028E-3</v>
      </c>
      <c r="K12" s="112" t="str" cm="1">
        <f t="array" ref="K12">IF(K6&gt;=1,IF(Z23=1,IFERROR(INDEX(AC47:AC49,Y47,COLUMNS(K12)),"-"), IF(Z23=2,IFERROR(INDEX(AC109:AC110,Y109,COLUMNS(K12)),"-"), IF(Z23=3,IFERROR(INDEX(AD145:AD149,Z145,COLUMNS(K12)),"-"), IF(Z23=4, IFERROR(INDEX(AE181:AE183,AA181,COLUMNS(K12)),"-"),IF(Z23=5, IFERROR(INDEX(AE181:AE183,AA181,COLUMNS(K12)),"-"),""))))),"-")</f>
        <v>-</v>
      </c>
      <c r="L12" s="112" t="str" cm="1">
        <f t="array" ref="L12">IF(L6&gt;=1,IF(AN23=1,IFERROR(INDEX(AQ47:AQ49,AM47,COLUMNS(L12)),"-"),IF(AN23=2,IFERROR(INDEX(AQ109:AQ110,AM109,COLUMNS(L12)),"-"),IF(AN23=3,IFERROR(INDEX(AR145:AR149,AN145,COLUMNS(L12)),"-"),IF(AN23=4,IFERROR(INDEX(AS181:AS183,AO181,COLUMNS(L12)),"-"),IF(AN23=5,IFERROR(INDEX(AS181:AS183,AO181,COLUMNS(L12)),"-"),""))))),"-")</f>
        <v>-</v>
      </c>
      <c r="M12" s="112" t="str" cm="1">
        <f t="array" ref="M12">IF(M6&gt;=1,IF(BB23=1,IFERROR(INDEX(BE47:BE49,BA47,COLUMNS(M12)),"-"),IF(BB23=2,IFERROR(INDEX(BE109:BE110,BA109,COLUMNS(M12)),"-"),IF(BB23=3,IFERROR(INDEX(BF145:BF149,BB145,COLUMNS(M12)),"-"),IF(BB23=4,IFERROR(INDEX(BG181:BG183,BC181,COLUMNS(M12)),"-"),IF(BB23=5,IFERROR(INDEX(BG181:BG183,BC181,COLUMNS(M12)),"-"),""))))),"-")</f>
        <v>-</v>
      </c>
      <c r="N12" s="113" t="str" cm="1">
        <f t="array" ref="N12">IF(N6&gt;=1,IF(BP23=1,IFERROR(INDEX(BS47:BS49,BO47,COLUMNS(N12)),"-"),IF(BP23=2,IFERROR(INDEX(BS109:BS110,BO109,COLUMNS(N12)),"-"),IF(BP23=3,IFERROR(INDEX(BT145:BT149,BP145,COLUMNS(N12)),"-"),IF(BP23=4,IFERROR(INDEX(BU181:BU183,BQ181,COLUMNS(N12)),"-"),IF(BP23=5,IFERROR(INDEX(BU181:BU183,BQ181,COLUMNS(N12)),"-"),""))))),"-")</f>
        <v>-</v>
      </c>
      <c r="O12" s="112" t="str" cm="1">
        <f t="array" ref="O12">IF(O6&gt;=1,IF(CA23=1,IFERROR(INDEX(CD47:CD49,BZ47,COLUMNS(O12)),"-"),IF(CA23=2,IFERROR(INDEX(CD109:CD110,BZ109,COLUMNS(O12)),"-"),IF(CA23=3,IFERROR(INDEX(CE145:CE149,CA145,COLUMNS(O12)),"-"),IF(CA23=4,IFERROR(INDEX(CF181:CF183,CB181,COLUMNS(O12)),"-"),IF(CA23=5,IFERROR(INDEX(CF181:CF183,CB181,COLUMNS(O12)),"-"),""))))),"-")</f>
        <v>-</v>
      </c>
      <c r="P12" s="114">
        <f>IFERROR(SUM(J12:O12),"")</f>
        <v>3.3783676560000028E-3</v>
      </c>
      <c r="Q12" s="22"/>
      <c r="R12" s="31"/>
      <c r="S12" s="31"/>
      <c r="T12" s="31"/>
      <c r="U12" s="31"/>
      <c r="V12" s="31"/>
      <c r="W12" s="31"/>
      <c r="X12" s="31"/>
      <c r="Y12" s="31"/>
      <c r="Z12" s="31"/>
    </row>
    <row r="13" spans="2:26" ht="20.25" customHeight="1">
      <c r="E13" s="23"/>
      <c r="F13" s="143"/>
      <c r="G13" s="144"/>
      <c r="H13" s="145"/>
      <c r="I13" s="115" t="s">
        <v>24</v>
      </c>
      <c r="J13" s="111" cm="1">
        <f t="array" ref="J13">IF(J6&gt;=1,IF(K23=1,IFERROR(INDEX(N56:N58,J56,COLUMNS(J13)),"-"), IF(K23=2,IFERROR(INDEX(N100:N101,J100,COLUMNS(J13)),"-"), IF(K23=3,IFERROR(INDEX(O130:O134,K130,COLUMNS(J13)),"-"), IF(K23=4, IFERROR(INDEX(P170:P172,L170,COLUMNS(J13)),"-"),IF(K23=5, IFERROR(INDEX(P170:P172,L170,COLUMNS(J13)),"-"),""))))),"-")</f>
        <v>1.1279712671999989E-2</v>
      </c>
      <c r="K13" s="112" t="str" cm="1">
        <f t="array" ref="K13">IF(K6&gt;=1,IF(Z23=1,IFERROR(INDEX(AC56:AC58,Y56,COLUMNS(K13)),"-"), IF(Z23=2,IFERROR(INDEX(AC100:AC101,Y100,COLUMNS(K13)),"-"), IF(Z23=3,IFERROR(INDEX(AD130:AD134,Z130,COLUMNS(K13)),"-"), IF(Z23=4, IFERROR(INDEX(AE170:AE172,AA170,COLUMNS(K13)),"-"),IF(Z23=5, IFERROR(INDEX(AE170:AE172,AA170,COLUMNS(K13)),"-"),""))))),"-")</f>
        <v>-</v>
      </c>
      <c r="L13" s="112" t="str" cm="1">
        <f t="array" ref="L13">IF(L6&gt;=1,IF(AN23=1,IFERROR(INDEX(AQ56:AQ58,AM56,COLUMNS(L13)),"-"),IF(AN23=2,IFERROR(INDEX(AQ100:AQ101,AM100,COLUMNS(L13)),"-"),IF(AN23=3,IFERROR(INDEX(AR130:AR134,AN130,COLUMNS(L13)),"-"),IF(AN23=4,IFERROR(INDEX(AS170:AS172,AO170,COLUMNS(L13)),"-"),IF(AN23=5,IFERROR(INDEX(AS170:AS172,AO170,COLUMNS(L13)),"-"),""))))),"-")</f>
        <v>-</v>
      </c>
      <c r="M13" s="112" t="str" cm="1">
        <f t="array" ref="M13">IF(M6&gt;=1,IF(BB23=1,IFERROR(INDEX(BE56:BE58,BA56,COLUMNS(M13)),"-"),IF(BB23=2,IFERROR(INDEX(BE100:BE101,BA100,COLUMNS(M13)),"-"),IF(BB23=3,IFERROR(INDEX(BF130:BF134,BB130,COLUMNS(M13)),"-"),IF(BB23=4,IFERROR(INDEX(BG170:BG172,BC170,COLUMNS(M13)),"-"),IF(BB23=5,IFERROR(INDEX(BG170:BG172,BC170,COLUMNS(M13)),"-"),""))))),"-")</f>
        <v>-</v>
      </c>
      <c r="N13" s="112" t="str" cm="1">
        <f t="array" ref="N13">IF(N6&gt;=1,IF(BP23=1,IFERROR(INDEX(BS56:BS58,BO56,COLUMNS(N13)),"-"),IF(BP23=2,IFERROR(INDEX(BS100:BS101,BO100,COLUMNS(N13)),"-"),IF(BP23=3,IFERROR(INDEX(BT130:BT134,BP130,COLUMNS(N13)),"-"),IF(BP23=4,IFERROR(INDEX(BU170:BU172,BQ170,COLUMNS(N13)),"-"),IF(BP23=5,IFERROR(INDEX(BU170:BU172,BQ170,COLUMNS(N13)),"-"),""))))),"-")</f>
        <v>-</v>
      </c>
      <c r="O13" s="112" t="str" cm="1">
        <f t="array" ref="O13">IF(O6&gt;=1,IF(CA23=1,IFERROR(INDEX(CD56:CD58,BZ56,COLUMNS(O13)),"-"),IF(CA23=2,IFERROR(INDEX(CD100:CD101,BZ100,COLUMNS(O13)),"-"),IF(CA23=3,IFERROR(INDEX(CE130:CE134,CA130,COLUMNS(O13)),"-"),IF(CA23=4,IFERROR(INDEX(CF170:CF172,CB170,COLUMNS(O13)),"-"),IF(CA23=5,IFERROR(INDEX(CF170:CF172,CB170,COLUMNS(O13)),"-"),""))))),"-")</f>
        <v>-</v>
      </c>
      <c r="P13" s="114">
        <f>IFERROR(SUM(J13:O13),"")</f>
        <v>1.1279712671999989E-2</v>
      </c>
      <c r="Q13" s="22"/>
      <c r="R13" s="31"/>
      <c r="S13" s="31"/>
      <c r="T13" s="31"/>
      <c r="U13" s="31"/>
      <c r="V13" s="31"/>
      <c r="W13" s="31"/>
      <c r="X13" s="31"/>
      <c r="Y13" s="31"/>
      <c r="Z13" s="31"/>
    </row>
    <row r="14" spans="2:26" ht="20.25" customHeight="1">
      <c r="E14" s="23"/>
      <c r="F14" s="143"/>
      <c r="G14" s="144"/>
      <c r="H14" s="145"/>
      <c r="I14" s="116" t="s">
        <v>25</v>
      </c>
      <c r="J14" s="111" cm="1">
        <f t="array" ref="J14">IF(J6&gt;=1,IF(K23=1,IFERROR(INDEX(N66:N68,J66,COLUMNS(J14)),"-"), IF(K23=2,IFERROR(INDEX(N104:N105,J104,COLUMNS(J14)),"-"), IF(K23=3,IFERROR(INDEX(O137:O141,K137,COLUMNS(J14)),"-"), IF(K23=4, IFERROR(INDEX(P175:P177,L175,COLUMNS(J14)),"-"),IF(K23=5, IFERROR(INDEX(P175:P177,L175,COLUMNS(J14)),"-"),""))))),"-")</f>
        <v>1.1909869559999942E-2</v>
      </c>
      <c r="K14" s="112" t="str" cm="1">
        <f t="array" ref="K14">IF(K6&gt;=1,IF(Z23=1,IFERROR(INDEX(AC66:AC68,Y66,COLUMNS(K14)),"-"), IF(Z23=2,IFERROR(INDEX(AC104:AC105,Y104,COLUMNS(K14)),"-"), IF(Z23=3,IFERROR(INDEX(AD137:AD141,Z137,COLUMNS(K14)),"-"), IF(Z23=4, IFERROR(INDEX(AE175:AE177,AA175,COLUMNS(K14)),"-"), IF(Z23=5, IFERROR(INDEX(AE175:AE177,AA175,COLUMNS(K14)),"-"),""))))),"-")</f>
        <v>-</v>
      </c>
      <c r="L14" s="112" t="str" cm="1">
        <f t="array" ref="L14">IF(L6&gt;=1,IF(AN23=1,IFERROR(INDEX(AQ66:AQ68,AM66,COLUMNS(L14)),"-"), IF(AN23=2,IFERROR(INDEX(AQ104:AQ105,AM104,COLUMNS(L14)),"-"), IF(AN23=3,IFERROR(INDEX(AR137:AR141,AN137,COLUMNS(L14)),"-"), IF(AN23=4, IFERROR(INDEX(AS175:AS177,AO175,COLUMNS(L14)),"-"),IF(AN23=5, IFERROR(INDEX(AS175:AS177,AO175,COLUMNS(L14)),"-"),""))))),"-")</f>
        <v>-</v>
      </c>
      <c r="M14" s="112" t="str" cm="1">
        <f t="array" ref="M14">IF(M6&gt;=1,IF(BB23=1,IFERROR(INDEX(BE66:BE68,BA66,COLUMNS(M14)),"-"),IF(BB23=2,IFERROR(INDEX(BE104:BE105,BA104,COLUMNS(M14)),"-"),IF(BB23=3,IFERROR(INDEX(BF137:BF141,BB137,COLUMNS(M14)),"-"),IF(BB23=4,IFERROR(INDEX(BG175:BG177,BC175,COLUMNS(M14)),"-"),IF(BB23=5,IFERROR(INDEX(BG175:BG177,BC175,COLUMNS(M14)),"-"),""))))),"-")</f>
        <v>-</v>
      </c>
      <c r="N14" s="112" t="str" cm="1">
        <f t="array" ref="N14">IF(N6&gt;=1,IF(BP23=1,IFERROR(INDEX(BS66:BS68,BO66,COLUMNS(N14)),"-"),IF(BP23=2,IFERROR(INDEX(BS104:BS105,BO104,COLUMNS(N14)),"-"),IF(BP23=3,IFERROR(INDEX(BT137:BT141,BP137,COLUMNS(N14)),"-"),IF(BP23=4,IFERROR(INDEX(BU175:BU177,BQ175,COLUMNS(N14)),"-"),IF(BP23=5,IFERROR(INDEX(BU175:BU177,BQ175,COLUMNS(N14)),"-"),""))))),"-")</f>
        <v>-</v>
      </c>
      <c r="O14" s="112" t="str" cm="1">
        <f t="array" ref="O14">IF(O6&gt;=1,IF(CA23=1,IFERROR(INDEX(CD66:CD68,BZ66,COLUMNS(O14)),"-"),IF(CA23=2,IFERROR(INDEX(CD104:CD105,BZ104,COLUMNS(O14)),"-"),IF(CA23=3,IFERROR(INDEX(CE137:CE141,CA137,COLUMNS(O14)),"-"),IF(CA23=4,IFERROR(INDEX(CF175:CF177,CB175,COLUMNS(O14)),"-"),IF(CA23=5,IFERROR(INDEX(CF175:CF177,CB175,COLUMNS(O14)),"-"),""))))),"-")</f>
        <v>-</v>
      </c>
      <c r="P14" s="114">
        <f>IFERROR(SUM(J14:O14),"")</f>
        <v>1.1909869559999942E-2</v>
      </c>
      <c r="Q14" s="22"/>
      <c r="R14" s="31"/>
      <c r="S14" s="31"/>
      <c r="T14" s="31"/>
      <c r="U14" s="31"/>
      <c r="V14" s="31"/>
      <c r="W14" s="31"/>
      <c r="X14" s="31"/>
      <c r="Y14" s="31"/>
      <c r="Z14" s="31"/>
    </row>
    <row r="15" spans="2:26" ht="20.25" customHeight="1" thickBot="1">
      <c r="E15" s="23"/>
      <c r="F15" s="143"/>
      <c r="G15" s="144"/>
      <c r="H15" s="145"/>
      <c r="I15" s="117" t="s">
        <v>26</v>
      </c>
      <c r="J15" s="111" cm="1">
        <f t="array" ref="J15">IF(J6&gt;=1,IF(K23=1,IFERROR(INDEX(N76:N78,J76,COLUMNS(J15)),"-"), IF(K23=2,IFERROR(INDEX(N113:N114,J113,COLUMNS(J15)),"-"), IF(K23=3,IFERROR(INDEX(O152:O156,K152,COLUMNS(J15)),"-"), IF(K23=4, IFERROR(INDEX(P186:P188,L186,COLUMNS(J15)),"-"), IF(K23=5, IFERROR(INDEX(P186:P188,L186,COLUMNS(J15)),"-"),""))))),"-")</f>
        <v>1.4725972800000103E-4</v>
      </c>
      <c r="K15" s="112" t="str" cm="1">
        <f t="array" ref="K15">IF(K6&gt;=1,IF(Z23=1,IFERROR(INDEX(AC76:AC78,Y76,COLUMNS(K15)),"-"), IF(Z23=2,IFERROR(INDEX(AC113:AC114,Y113,COLUMNS(K15)),"-"), IF(Z23=3,IFERROR(INDEX(AD152:AD156,Z152,COLUMNS(K15)),"-"), IF(Z23=4, IFERROR(INDEX(AE186:AE188,AA186,COLUMNS(K15)),"-"),IF(Z23=5, IFERROR(INDEX(AE186:AE188,AA186,COLUMNS(K15)),"-"),""))))),"-")</f>
        <v>-</v>
      </c>
      <c r="L15" s="112" t="str" cm="1">
        <f t="array" ref="L15">IF(L6&gt;=1,IF(AN23=1,IFERROR(INDEX(AQ76:AQ78,AM76,COLUMNS(L15)),"-"), IF(AN23=2,IFERROR(INDEX(AQ113:AQ114,AM113,COLUMNS(L15)),"-"), IF(AN23=3,IFERROR(INDEX(AR152:AR156,AN152,COLUMNS(L15)),"-"), IF(AN23=4, IFERROR(INDEX(AS186:AS188,AO186,COLUMNS(L15)),"-"),IF(AN23=5, IFERROR(INDEX(AS186:AS188,AO186,COLUMNS(L15)),"-"),""))))),"-")</f>
        <v>-</v>
      </c>
      <c r="M15" s="112" t="str" cm="1">
        <f t="array" ref="M15">IF(M6&gt;=1,IF(BB23=1,IFERROR(INDEX(BE76:BE78,BA76,COLUMNS(M15)),"-"),IF(BB23=2,IFERROR(INDEX(BE113:BE114,BA113,COLUMNS(M15)),"-"),IF(BB23=3,IFERROR(INDEX(BF152:BF156,BB152,COLUMNS(M15)),"-"),IF(BB23=4,IFERROR(INDEX(BG186:BG188,BC186,COLUMNS(M15)),"-"),IF(BB23=5,IFERROR(INDEX(BG186:BG188,BC186,COLUMNS(M15)),"-"),""))))),"-")</f>
        <v>-</v>
      </c>
      <c r="N15" s="112" t="str" cm="1">
        <f t="array" ref="N15">IF(N6&gt;=1,IF(BP23=1,IFERROR(INDEX(BS76:BS78,BO76,COLUMNS(N15)),"-"),IF(BP23=2,IFERROR(INDEX(BS113:BS114,BO113,COLUMNS(N15)),"-"),IF(BP23=3,IFERROR(INDEX(BT152:BT156,BP152,COLUMNS(N15)),"-"),IF(BP23=4,IFERROR(INDEX(BU186:BU188,BQ186,COLUMNS(N15)),"-"),IF(BP23=5,IFERROR(INDEX(BU186:BU188,BQ186,COLUMNS(N15)),"-"),""))))),"-")</f>
        <v>-</v>
      </c>
      <c r="O15" s="118" t="str" cm="1">
        <f t="array" ref="O15">IF(O6&gt;=1,IF(CA23=1,IFERROR(INDEX(CD76:CD78,BZ76,COLUMNS(O15)),"-"),IF(CA23=2,IFERROR(INDEX(CD113:CD114,BZ113,COLUMNS(O15)),"-"),IF(CA23=3,IFERROR(INDEX(CE152:CE156,CA152,COLUMNS(O15)),"-"),IF(CA23=4,IFERROR(INDEX(CF186:CF188,CB186,COLUMNS(O15)),"-"),IF(CA23=5,IFERROR(INDEX(CF186:CF188,CB186,COLUMNS(O15)),"-"),""))))),"-")</f>
        <v>-</v>
      </c>
      <c r="P15" s="119">
        <f>IFERROR(SUM(J15:O15),"")</f>
        <v>1.4725972800000103E-4</v>
      </c>
      <c r="Q15" s="22"/>
      <c r="R15" s="31"/>
      <c r="S15" s="31"/>
      <c r="T15" s="31"/>
      <c r="U15" s="31"/>
      <c r="V15" s="31"/>
      <c r="W15" s="31"/>
      <c r="X15" s="31"/>
      <c r="Y15" s="31"/>
      <c r="Z15" s="31"/>
    </row>
    <row r="16" spans="2:26">
      <c r="E16" s="21"/>
      <c r="F16" s="20"/>
      <c r="G16" s="20"/>
      <c r="H16" s="20"/>
      <c r="I16" s="20"/>
      <c r="J16" s="20"/>
      <c r="K16" s="20"/>
      <c r="L16" s="20"/>
      <c r="M16" s="20"/>
      <c r="N16" s="20"/>
      <c r="O16" s="19"/>
      <c r="P16" s="55"/>
      <c r="Q16" s="18"/>
      <c r="R16" s="31"/>
      <c r="S16" s="31"/>
      <c r="T16" s="31"/>
      <c r="U16" s="31"/>
      <c r="V16" s="31"/>
      <c r="W16" s="31"/>
      <c r="X16" s="31"/>
      <c r="Y16" s="31"/>
      <c r="Z16" s="31"/>
    </row>
    <row r="17" spans="5:85" ht="14.25" customHeight="1"/>
    <row r="18" spans="5:85">
      <c r="F18" s="66"/>
    </row>
    <row r="19" spans="5:85" hidden="1">
      <c r="F19" s="2"/>
      <c r="G19" s="16" t="s">
        <v>27</v>
      </c>
      <c r="H19" s="16"/>
      <c r="I19" s="2"/>
      <c r="J19" s="2"/>
      <c r="K19" s="2"/>
      <c r="L19" s="2"/>
      <c r="M19" s="2"/>
      <c r="N19" s="2"/>
      <c r="O19" s="2"/>
      <c r="P19" s="2"/>
      <c r="Q19" s="2"/>
      <c r="R19" s="2"/>
      <c r="S19" s="2"/>
    </row>
    <row r="20" spans="5:85" hidden="1">
      <c r="F20" s="2"/>
      <c r="G20" s="16"/>
      <c r="H20" s="16"/>
      <c r="I20" s="11"/>
      <c r="J20" s="17" t="s">
        <v>28</v>
      </c>
      <c r="N20" s="2"/>
      <c r="O20" s="2"/>
      <c r="P20" s="2"/>
      <c r="Q20" s="2"/>
      <c r="R20" s="2"/>
      <c r="S20" s="2"/>
    </row>
    <row r="21" spans="5:85" hidden="1">
      <c r="F21" s="2"/>
      <c r="G21" s="15" t="s">
        <v>29</v>
      </c>
      <c r="H21" s="16"/>
      <c r="I21" s="2"/>
      <c r="J21" s="2"/>
      <c r="K21" s="2"/>
      <c r="L21" s="2"/>
      <c r="M21" s="16" t="s">
        <v>30</v>
      </c>
      <c r="N21" s="2"/>
      <c r="O21" s="2"/>
      <c r="P21" s="2"/>
      <c r="Q21" s="2"/>
      <c r="R21" s="2"/>
      <c r="S21" s="2"/>
      <c r="U21" s="2"/>
      <c r="V21" s="15" t="s">
        <v>31</v>
      </c>
      <c r="W21" s="16"/>
      <c r="X21" s="2"/>
      <c r="Y21" s="2"/>
      <c r="Z21" s="2"/>
      <c r="AA21" s="2"/>
      <c r="AB21" s="2"/>
      <c r="AC21" s="2"/>
      <c r="AD21" s="2"/>
      <c r="AE21" s="2"/>
      <c r="AF21" s="2"/>
      <c r="AG21" s="2"/>
      <c r="AH21" s="2"/>
      <c r="AI21" s="2"/>
      <c r="AJ21" s="15" t="s">
        <v>32</v>
      </c>
      <c r="AK21" s="16"/>
      <c r="AL21" s="2"/>
      <c r="AM21" s="2"/>
      <c r="AN21" s="2"/>
      <c r="AO21" s="2"/>
      <c r="AP21" s="2"/>
      <c r="AQ21" s="2"/>
      <c r="AR21" s="2"/>
      <c r="AS21" s="2"/>
      <c r="AT21" s="2"/>
      <c r="AU21" s="2"/>
      <c r="AW21" s="2"/>
      <c r="AX21" s="15" t="s">
        <v>33</v>
      </c>
      <c r="AY21" s="16"/>
      <c r="AZ21" s="2"/>
      <c r="BA21" s="2"/>
      <c r="BB21" s="2"/>
      <c r="BC21" s="2"/>
      <c r="BD21" s="2"/>
      <c r="BE21" s="2"/>
      <c r="BF21" s="2"/>
      <c r="BG21" s="2"/>
      <c r="BH21" s="2"/>
      <c r="BK21" s="2"/>
      <c r="BL21" s="15" t="s">
        <v>34</v>
      </c>
      <c r="BM21" s="16"/>
      <c r="BN21" s="2"/>
      <c r="BO21" s="2"/>
      <c r="BP21" s="2"/>
      <c r="BQ21" s="2"/>
      <c r="BR21" s="2"/>
      <c r="BS21" s="2"/>
      <c r="BT21" s="2"/>
      <c r="BU21" s="2"/>
      <c r="BV21" s="2"/>
      <c r="BW21" s="15" t="s">
        <v>35</v>
      </c>
      <c r="BX21" s="16"/>
      <c r="BY21" s="2"/>
      <c r="BZ21" s="2"/>
      <c r="CA21" s="2"/>
      <c r="CB21" s="2"/>
      <c r="CC21" s="2"/>
      <c r="CD21" s="2"/>
      <c r="CE21" s="2"/>
      <c r="CF21" s="2"/>
      <c r="CG21" s="2"/>
    </row>
    <row r="22" spans="5:85" hidden="1">
      <c r="F22" s="2"/>
      <c r="G22" s="16"/>
      <c r="H22" s="16"/>
      <c r="I22" s="2"/>
      <c r="J22" s="2" t="s">
        <v>36</v>
      </c>
      <c r="K22" s="2" t="s">
        <v>36</v>
      </c>
      <c r="L22" s="2"/>
      <c r="M22" s="2"/>
      <c r="N22" s="2" t="s">
        <v>36</v>
      </c>
      <c r="O22" s="2"/>
      <c r="P22" s="2"/>
      <c r="Q22" s="2"/>
      <c r="R22" s="2"/>
      <c r="S22" s="2"/>
      <c r="U22" s="2"/>
      <c r="V22" s="16"/>
      <c r="W22" s="16"/>
      <c r="X22" s="2"/>
      <c r="Y22" s="2" t="s">
        <v>36</v>
      </c>
      <c r="Z22" s="2" t="s">
        <v>36</v>
      </c>
      <c r="AA22" s="2"/>
      <c r="AB22" s="2"/>
      <c r="AC22" s="2"/>
      <c r="AD22" s="2"/>
      <c r="AE22" s="2"/>
      <c r="AF22" s="2"/>
      <c r="AG22" s="2"/>
      <c r="AH22" s="2"/>
      <c r="AI22" s="2"/>
      <c r="AJ22" s="16"/>
      <c r="AK22" s="16"/>
      <c r="AL22" s="2"/>
      <c r="AM22" s="2" t="s">
        <v>36</v>
      </c>
      <c r="AN22" s="2" t="s">
        <v>36</v>
      </c>
      <c r="AO22" s="2"/>
      <c r="AP22" s="2"/>
      <c r="AQ22" s="2"/>
      <c r="AR22" s="2"/>
      <c r="AS22" s="2"/>
      <c r="AT22" s="2"/>
      <c r="AU22" s="2"/>
      <c r="AW22" s="2"/>
      <c r="AX22" s="16"/>
      <c r="AY22" s="16"/>
      <c r="AZ22" s="2"/>
      <c r="BA22" s="2" t="s">
        <v>36</v>
      </c>
      <c r="BB22" s="2" t="s">
        <v>36</v>
      </c>
      <c r="BC22" s="2"/>
      <c r="BD22" s="2"/>
      <c r="BE22" s="2"/>
      <c r="BF22" s="2"/>
      <c r="BG22" s="2"/>
      <c r="BH22" s="2"/>
      <c r="BK22" s="2"/>
      <c r="BL22" s="16"/>
      <c r="BM22" s="16"/>
      <c r="BN22" s="2"/>
      <c r="BO22" s="2" t="s">
        <v>36</v>
      </c>
      <c r="BP22" s="2" t="s">
        <v>36</v>
      </c>
      <c r="BQ22" s="2"/>
      <c r="BR22" s="2"/>
      <c r="BS22" s="2"/>
      <c r="BT22" s="2"/>
      <c r="BU22" s="2"/>
      <c r="BV22" s="2"/>
      <c r="BW22" s="16"/>
      <c r="BX22" s="16"/>
      <c r="BY22" s="2"/>
      <c r="BZ22" s="2" t="s">
        <v>36</v>
      </c>
      <c r="CA22" s="2" t="s">
        <v>36</v>
      </c>
      <c r="CB22" s="2"/>
      <c r="CC22" s="2"/>
      <c r="CD22" s="2"/>
      <c r="CE22" s="2"/>
      <c r="CF22" s="2"/>
      <c r="CG22" s="2"/>
    </row>
    <row r="23" spans="5:85" hidden="1">
      <c r="E23" s="1" t="s">
        <v>14</v>
      </c>
      <c r="F23" s="2">
        <v>1</v>
      </c>
      <c r="G23" s="16" t="s">
        <v>14</v>
      </c>
      <c r="H23" s="16"/>
      <c r="I23" s="2"/>
      <c r="J23" s="2">
        <f t="shared" ref="J23:J28" si="0">IF((J$7=G23),F23,"")</f>
        <v>1</v>
      </c>
      <c r="K23" s="2">
        <f>IFERROR(SMALL(J$23:J$28,F23),"")</f>
        <v>1</v>
      </c>
      <c r="L23" s="2">
        <v>1</v>
      </c>
      <c r="M23" s="17" t="s">
        <v>11</v>
      </c>
      <c r="N23" s="2" t="str">
        <f>IF((J$7=M23),L23,"")</f>
        <v/>
      </c>
      <c r="O23" s="2"/>
      <c r="P23" s="2"/>
      <c r="Q23" s="2"/>
      <c r="R23" s="2"/>
      <c r="S23" s="2"/>
      <c r="U23" s="2">
        <v>1</v>
      </c>
      <c r="V23" s="16" t="s">
        <v>14</v>
      </c>
      <c r="W23" s="16"/>
      <c r="X23" s="2"/>
      <c r="Y23" s="2" t="str">
        <f t="shared" ref="Y23:Y28" si="1">IF((K$7=V23),U23,"")</f>
        <v/>
      </c>
      <c r="Z23" s="2">
        <f>IFERROR(SMALL(Y$23:Y$28,U23),"")</f>
        <v>6</v>
      </c>
      <c r="AA23" s="2"/>
      <c r="AB23" s="2"/>
      <c r="AC23" s="2"/>
      <c r="AD23" s="2"/>
      <c r="AE23" s="2"/>
      <c r="AF23" s="2"/>
      <c r="AG23" s="2"/>
      <c r="AH23" s="2"/>
      <c r="AI23" s="2">
        <v>1</v>
      </c>
      <c r="AJ23" s="16" t="s">
        <v>14</v>
      </c>
      <c r="AK23" s="16"/>
      <c r="AL23" s="2"/>
      <c r="AM23" s="2" t="str">
        <f t="shared" ref="AM23:AM28" si="2">IF((L$7=AJ23),AI23,"")</f>
        <v/>
      </c>
      <c r="AN23" s="2">
        <f>IFERROR(SMALL(AM$23:AM$28,AI23),"")</f>
        <v>6</v>
      </c>
      <c r="AO23" s="2"/>
      <c r="AP23" s="2"/>
      <c r="AQ23" s="2"/>
      <c r="AR23" s="2"/>
      <c r="AS23" s="2"/>
      <c r="AT23" s="2"/>
      <c r="AU23" s="2"/>
      <c r="AW23" s="2">
        <v>1</v>
      </c>
      <c r="AX23" s="16" t="s">
        <v>14</v>
      </c>
      <c r="AY23" s="16"/>
      <c r="AZ23" s="2"/>
      <c r="BA23" s="2" t="str">
        <f t="shared" ref="BA23:BA28" si="3">IF((M$7=AX23),AW23,"")</f>
        <v/>
      </c>
      <c r="BB23" s="2">
        <f>IFERROR(SMALL(BA$23:BA$28,AW23),"")</f>
        <v>6</v>
      </c>
      <c r="BC23" s="2"/>
      <c r="BD23" s="2"/>
      <c r="BE23" s="2"/>
      <c r="BF23" s="2"/>
      <c r="BG23" s="2"/>
      <c r="BH23" s="2"/>
      <c r="BK23" s="2">
        <v>1</v>
      </c>
      <c r="BL23" s="16" t="s">
        <v>14</v>
      </c>
      <c r="BM23" s="16"/>
      <c r="BN23" s="2"/>
      <c r="BO23" s="2" t="str">
        <f t="shared" ref="BO23:BO28" si="4">IF((N$7=BL23),BK23,"")</f>
        <v/>
      </c>
      <c r="BP23" s="2">
        <f>IFERROR(SMALL(BO$23:BO$28,BK23),"")</f>
        <v>6</v>
      </c>
      <c r="BQ23" s="2"/>
      <c r="BR23" s="2"/>
      <c r="BS23" s="2"/>
      <c r="BT23" s="2"/>
      <c r="BU23" s="2"/>
      <c r="BV23" s="2">
        <v>1</v>
      </c>
      <c r="BW23" s="16" t="s">
        <v>14</v>
      </c>
      <c r="BX23" s="16"/>
      <c r="BY23" s="2"/>
      <c r="BZ23" s="2" t="str">
        <f t="shared" ref="BZ23:BZ28" si="5">IF((O$7=BW23),BV23,"")</f>
        <v/>
      </c>
      <c r="CA23" s="2">
        <f>IFERROR(SMALL(BZ$23:BZ$28,BV23),"")</f>
        <v>6</v>
      </c>
      <c r="CB23" s="2"/>
      <c r="CC23" s="2"/>
      <c r="CD23" s="2"/>
      <c r="CE23" s="2"/>
      <c r="CF23" s="2"/>
      <c r="CG23" s="2"/>
    </row>
    <row r="24" spans="5:85" hidden="1">
      <c r="E24" s="1" t="s">
        <v>37</v>
      </c>
      <c r="F24" s="2">
        <v>2</v>
      </c>
      <c r="G24" s="16" t="s">
        <v>37</v>
      </c>
      <c r="H24" s="16"/>
      <c r="I24" s="2"/>
      <c r="J24" s="2" t="str">
        <f t="shared" si="0"/>
        <v/>
      </c>
      <c r="K24" s="2" t="str">
        <f>IFERROR(SMALL(J$23:J$26,F24),"")</f>
        <v/>
      </c>
      <c r="L24" s="2"/>
      <c r="M24" s="2"/>
      <c r="N24" s="2"/>
      <c r="O24" s="2"/>
      <c r="P24" s="2"/>
      <c r="Q24" s="2"/>
      <c r="R24" s="2"/>
      <c r="S24" s="2"/>
      <c r="U24" s="2">
        <v>2</v>
      </c>
      <c r="V24" s="16" t="s">
        <v>37</v>
      </c>
      <c r="W24" s="16"/>
      <c r="X24" s="2"/>
      <c r="Y24" s="2" t="str">
        <f t="shared" si="1"/>
        <v/>
      </c>
      <c r="Z24" s="2" t="str">
        <f>IFERROR(SMALL(Y$23:Y$26,U24),"")</f>
        <v/>
      </c>
      <c r="AA24" s="2"/>
      <c r="AB24" s="2"/>
      <c r="AC24" s="2"/>
      <c r="AD24" s="2"/>
      <c r="AE24" s="2"/>
      <c r="AF24" s="2"/>
      <c r="AG24" s="2"/>
      <c r="AH24" s="2"/>
      <c r="AI24" s="2">
        <v>2</v>
      </c>
      <c r="AJ24" s="16" t="s">
        <v>37</v>
      </c>
      <c r="AK24" s="16"/>
      <c r="AL24" s="2"/>
      <c r="AM24" s="2" t="str">
        <f t="shared" si="2"/>
        <v/>
      </c>
      <c r="AN24" s="2" t="str">
        <f>IFERROR(SMALL(AM$23:AM$26,AI24),"")</f>
        <v/>
      </c>
      <c r="AO24" s="2"/>
      <c r="AP24" s="2"/>
      <c r="AQ24" s="2"/>
      <c r="AR24" s="2"/>
      <c r="AS24" s="2"/>
      <c r="AT24" s="2"/>
      <c r="AU24" s="2"/>
      <c r="AW24" s="2">
        <v>2</v>
      </c>
      <c r="AX24" s="16" t="s">
        <v>37</v>
      </c>
      <c r="AY24" s="16"/>
      <c r="AZ24" s="2"/>
      <c r="BA24" s="2" t="str">
        <f t="shared" si="3"/>
        <v/>
      </c>
      <c r="BB24" s="2" t="str">
        <f>IFERROR(SMALL(BA$23:BA$26,AW24),"")</f>
        <v/>
      </c>
      <c r="BC24" s="2"/>
      <c r="BD24" s="2"/>
      <c r="BE24" s="2"/>
      <c r="BF24" s="2"/>
      <c r="BG24" s="2"/>
      <c r="BH24" s="2"/>
      <c r="BK24" s="2">
        <v>2</v>
      </c>
      <c r="BL24" s="16" t="s">
        <v>37</v>
      </c>
      <c r="BM24" s="16"/>
      <c r="BN24" s="2"/>
      <c r="BO24" s="2" t="str">
        <f t="shared" si="4"/>
        <v/>
      </c>
      <c r="BP24" s="2" t="str">
        <f>IFERROR(SMALL(BO$23:BO$26,BK24),"")</f>
        <v/>
      </c>
      <c r="BQ24" s="2"/>
      <c r="BR24" s="2"/>
      <c r="BS24" s="2"/>
      <c r="BT24" s="2"/>
      <c r="BU24" s="2"/>
      <c r="BV24" s="2">
        <v>2</v>
      </c>
      <c r="BW24" s="16" t="s">
        <v>37</v>
      </c>
      <c r="BX24" s="16"/>
      <c r="BY24" s="2"/>
      <c r="BZ24" s="2" t="str">
        <f t="shared" si="5"/>
        <v/>
      </c>
      <c r="CA24" s="2" t="str">
        <f>IFERROR(SMALL(BZ$23:BZ$26,BV24),"")</f>
        <v/>
      </c>
      <c r="CB24" s="2"/>
      <c r="CC24" s="2"/>
      <c r="CD24" s="2"/>
      <c r="CE24" s="2"/>
      <c r="CF24" s="2"/>
      <c r="CG24" s="2"/>
    </row>
    <row r="25" spans="5:85" hidden="1">
      <c r="E25" s="1" t="s">
        <v>38</v>
      </c>
      <c r="F25" s="2">
        <v>3</v>
      </c>
      <c r="G25" s="16" t="s">
        <v>38</v>
      </c>
      <c r="H25" s="16"/>
      <c r="I25" s="2"/>
      <c r="J25" s="2" t="str">
        <f t="shared" si="0"/>
        <v/>
      </c>
      <c r="K25" s="2" t="str">
        <f>IFERROR(SMALL(J$23:J$26,F25),"")</f>
        <v/>
      </c>
      <c r="L25" s="2"/>
      <c r="M25" s="2"/>
      <c r="N25" s="2"/>
      <c r="O25" s="2"/>
      <c r="P25" s="2"/>
      <c r="Q25" s="2"/>
      <c r="R25" s="2"/>
      <c r="S25" s="2"/>
      <c r="U25" s="2">
        <v>3</v>
      </c>
      <c r="V25" s="16" t="s">
        <v>38</v>
      </c>
      <c r="W25" s="16"/>
      <c r="X25" s="2"/>
      <c r="Y25" s="2" t="str">
        <f t="shared" si="1"/>
        <v/>
      </c>
      <c r="Z25" s="2" t="str">
        <f>IFERROR(SMALL(Y$23:Y$26,U25),"")</f>
        <v/>
      </c>
      <c r="AA25" s="2"/>
      <c r="AB25" s="2"/>
      <c r="AC25" s="2"/>
      <c r="AD25" s="2"/>
      <c r="AE25" s="2"/>
      <c r="AF25" s="2"/>
      <c r="AG25" s="2"/>
      <c r="AH25" s="2"/>
      <c r="AI25" s="2">
        <v>3</v>
      </c>
      <c r="AJ25" s="16" t="s">
        <v>38</v>
      </c>
      <c r="AK25" s="16"/>
      <c r="AL25" s="2"/>
      <c r="AM25" s="2" t="str">
        <f t="shared" si="2"/>
        <v/>
      </c>
      <c r="AN25" s="2" t="str">
        <f>IFERROR(SMALL(AM$23:AM$26,AI25),"")</f>
        <v/>
      </c>
      <c r="AO25" s="2"/>
      <c r="AP25" s="2"/>
      <c r="AQ25" s="2"/>
      <c r="AR25" s="2"/>
      <c r="AS25" s="2"/>
      <c r="AT25" s="2"/>
      <c r="AU25" s="2"/>
      <c r="AW25" s="2">
        <v>3</v>
      </c>
      <c r="AX25" s="16" t="s">
        <v>38</v>
      </c>
      <c r="AY25" s="16"/>
      <c r="AZ25" s="2"/>
      <c r="BA25" s="2" t="str">
        <f t="shared" si="3"/>
        <v/>
      </c>
      <c r="BB25" s="2" t="str">
        <f>IFERROR(SMALL(BA$23:BA$26,AW25),"")</f>
        <v/>
      </c>
      <c r="BC25" s="2"/>
      <c r="BD25" s="2"/>
      <c r="BE25" s="2"/>
      <c r="BF25" s="2"/>
      <c r="BG25" s="2"/>
      <c r="BH25" s="2"/>
      <c r="BK25" s="2">
        <v>3</v>
      </c>
      <c r="BL25" s="16" t="s">
        <v>38</v>
      </c>
      <c r="BM25" s="16"/>
      <c r="BN25" s="2"/>
      <c r="BO25" s="2" t="str">
        <f t="shared" si="4"/>
        <v/>
      </c>
      <c r="BP25" s="2" t="str">
        <f>IFERROR(SMALL(BO$23:BO$26,BK25),"")</f>
        <v/>
      </c>
      <c r="BQ25" s="2"/>
      <c r="BR25" s="2"/>
      <c r="BS25" s="2"/>
      <c r="BT25" s="2"/>
      <c r="BU25" s="2"/>
      <c r="BV25" s="2">
        <v>3</v>
      </c>
      <c r="BW25" s="16" t="s">
        <v>38</v>
      </c>
      <c r="BX25" s="16"/>
      <c r="BY25" s="2"/>
      <c r="BZ25" s="2" t="str">
        <f t="shared" si="5"/>
        <v/>
      </c>
      <c r="CA25" s="2" t="str">
        <f>IFERROR(SMALL(BZ$23:BZ$26,BV25),"")</f>
        <v/>
      </c>
      <c r="CB25" s="2"/>
      <c r="CC25" s="2"/>
      <c r="CD25" s="2"/>
      <c r="CE25" s="2"/>
      <c r="CF25" s="2"/>
      <c r="CG25" s="2"/>
    </row>
    <row r="26" spans="5:85" hidden="1">
      <c r="E26" s="1" t="s">
        <v>39</v>
      </c>
      <c r="F26" s="2">
        <v>4</v>
      </c>
      <c r="G26" s="16" t="s">
        <v>39</v>
      </c>
      <c r="H26" s="16"/>
      <c r="I26" s="2"/>
      <c r="J26" s="2" t="str">
        <f t="shared" si="0"/>
        <v/>
      </c>
      <c r="K26" s="2" t="str">
        <f>IFERROR(SMALL(J$23:J$26,F26),"")</f>
        <v/>
      </c>
      <c r="L26" s="2"/>
      <c r="M26" s="2"/>
      <c r="N26" s="2"/>
      <c r="O26" s="2"/>
      <c r="P26" s="2"/>
      <c r="Q26" s="2"/>
      <c r="R26" s="2"/>
      <c r="S26" s="2"/>
      <c r="U26" s="2">
        <v>4</v>
      </c>
      <c r="V26" s="16" t="s">
        <v>39</v>
      </c>
      <c r="W26" s="16"/>
      <c r="X26" s="2"/>
      <c r="Y26" s="2" t="str">
        <f t="shared" si="1"/>
        <v/>
      </c>
      <c r="Z26" s="2" t="str">
        <f>IFERROR(SMALL(Y$23:Y$26,U26),"")</f>
        <v/>
      </c>
      <c r="AA26" s="2"/>
      <c r="AB26" s="2"/>
      <c r="AC26" s="2"/>
      <c r="AD26" s="2"/>
      <c r="AE26" s="2"/>
      <c r="AF26" s="2"/>
      <c r="AG26" s="2"/>
      <c r="AH26" s="2"/>
      <c r="AI26" s="2">
        <v>4</v>
      </c>
      <c r="AJ26" s="16" t="s">
        <v>39</v>
      </c>
      <c r="AK26" s="16"/>
      <c r="AL26" s="2"/>
      <c r="AM26" s="2" t="str">
        <f t="shared" si="2"/>
        <v/>
      </c>
      <c r="AN26" s="2" t="str">
        <f>IFERROR(SMALL(AM$23:AM$26,AI26),"")</f>
        <v/>
      </c>
      <c r="AO26" s="2"/>
      <c r="AP26" s="2"/>
      <c r="AQ26" s="2"/>
      <c r="AR26" s="2"/>
      <c r="AS26" s="2"/>
      <c r="AT26" s="2"/>
      <c r="AU26" s="2"/>
      <c r="AW26" s="2">
        <v>4</v>
      </c>
      <c r="AX26" s="16" t="s">
        <v>39</v>
      </c>
      <c r="AY26" s="16"/>
      <c r="AZ26" s="2"/>
      <c r="BA26" s="2" t="str">
        <f t="shared" si="3"/>
        <v/>
      </c>
      <c r="BB26" s="2" t="str">
        <f>IFERROR(SMALL(BA$23:BA$26,AW26),"")</f>
        <v/>
      </c>
      <c r="BC26" s="2"/>
      <c r="BD26" s="2"/>
      <c r="BE26" s="2"/>
      <c r="BF26" s="2"/>
      <c r="BG26" s="2"/>
      <c r="BH26" s="2"/>
      <c r="BK26" s="2">
        <v>4</v>
      </c>
      <c r="BL26" s="16" t="s">
        <v>39</v>
      </c>
      <c r="BM26" s="16"/>
      <c r="BN26" s="2"/>
      <c r="BO26" s="2" t="str">
        <f t="shared" si="4"/>
        <v/>
      </c>
      <c r="BP26" s="2" t="str">
        <f>IFERROR(SMALL(BO$23:BO$26,BK26),"")</f>
        <v/>
      </c>
      <c r="BQ26" s="2"/>
      <c r="BR26" s="2"/>
      <c r="BS26" s="2"/>
      <c r="BT26" s="2"/>
      <c r="BU26" s="2"/>
      <c r="BV26" s="2">
        <v>4</v>
      </c>
      <c r="BW26" s="16" t="s">
        <v>39</v>
      </c>
      <c r="BX26" s="16"/>
      <c r="BY26" s="2"/>
      <c r="BZ26" s="2" t="str">
        <f t="shared" si="5"/>
        <v/>
      </c>
      <c r="CA26" s="2" t="str">
        <f>IFERROR(SMALL(BZ$23:BZ$26,BV26),"")</f>
        <v/>
      </c>
      <c r="CB26" s="2"/>
      <c r="CC26" s="2"/>
      <c r="CD26" s="2"/>
      <c r="CE26" s="2"/>
      <c r="CF26" s="2"/>
      <c r="CG26" s="2"/>
    </row>
    <row r="27" spans="5:85" hidden="1">
      <c r="F27" s="2">
        <v>5</v>
      </c>
      <c r="G27" s="16" t="s">
        <v>40</v>
      </c>
      <c r="H27" s="16"/>
      <c r="I27" s="2"/>
      <c r="J27" s="2" t="str">
        <f t="shared" si="0"/>
        <v/>
      </c>
      <c r="K27" s="2"/>
      <c r="L27" s="2"/>
      <c r="M27" s="2"/>
      <c r="N27" s="2"/>
      <c r="O27" s="2"/>
      <c r="P27" s="2"/>
      <c r="Q27" s="2"/>
      <c r="R27" s="2"/>
      <c r="S27" s="2"/>
      <c r="U27" s="2">
        <v>5</v>
      </c>
      <c r="V27" s="16" t="s">
        <v>40</v>
      </c>
      <c r="W27" s="16"/>
      <c r="X27" s="2"/>
      <c r="Y27" s="2" t="str">
        <f t="shared" si="1"/>
        <v/>
      </c>
      <c r="Z27" s="2"/>
      <c r="AA27" s="2"/>
      <c r="AB27" s="2"/>
      <c r="AC27" s="2"/>
      <c r="AD27" s="2"/>
      <c r="AE27" s="2"/>
      <c r="AF27" s="2"/>
      <c r="AG27" s="2"/>
      <c r="AH27" s="2"/>
      <c r="AI27" s="2">
        <v>5</v>
      </c>
      <c r="AJ27" s="16" t="s">
        <v>40</v>
      </c>
      <c r="AK27" s="16"/>
      <c r="AL27" s="2"/>
      <c r="AM27" s="2" t="str">
        <f t="shared" si="2"/>
        <v/>
      </c>
      <c r="AN27" s="2"/>
      <c r="AO27" s="2"/>
      <c r="AP27" s="2"/>
      <c r="AQ27" s="2"/>
      <c r="AR27" s="2"/>
      <c r="AS27" s="2"/>
      <c r="AT27" s="2"/>
      <c r="AU27" s="2"/>
      <c r="AW27" s="2">
        <v>5</v>
      </c>
      <c r="AX27" s="16" t="s">
        <v>40</v>
      </c>
      <c r="AY27" s="16"/>
      <c r="AZ27" s="2"/>
      <c r="BA27" s="2" t="str">
        <f t="shared" si="3"/>
        <v/>
      </c>
      <c r="BB27" s="2"/>
      <c r="BC27" s="2"/>
      <c r="BD27" s="2"/>
      <c r="BE27" s="2"/>
      <c r="BF27" s="2"/>
      <c r="BG27" s="2"/>
      <c r="BH27" s="2"/>
      <c r="BK27" s="2">
        <v>5</v>
      </c>
      <c r="BL27" s="16" t="s">
        <v>40</v>
      </c>
      <c r="BM27" s="16"/>
      <c r="BN27" s="2"/>
      <c r="BO27" s="2" t="str">
        <f t="shared" si="4"/>
        <v/>
      </c>
      <c r="BP27" s="2"/>
      <c r="BQ27" s="2"/>
      <c r="BR27" s="2"/>
      <c r="BS27" s="2"/>
      <c r="BT27" s="2"/>
      <c r="BU27" s="2"/>
      <c r="BV27" s="2">
        <v>5</v>
      </c>
      <c r="BW27" s="16" t="s">
        <v>40</v>
      </c>
      <c r="BX27" s="16"/>
      <c r="BY27" s="2"/>
      <c r="BZ27" s="2" t="str">
        <f t="shared" si="5"/>
        <v/>
      </c>
      <c r="CA27" s="2"/>
      <c r="CB27" s="2"/>
      <c r="CC27" s="2"/>
      <c r="CD27" s="2"/>
      <c r="CE27" s="2"/>
      <c r="CF27" s="2"/>
      <c r="CG27" s="2"/>
    </row>
    <row r="28" spans="5:85" hidden="1">
      <c r="F28" s="2">
        <v>6</v>
      </c>
      <c r="G28" s="53" t="s">
        <v>11</v>
      </c>
      <c r="H28" s="16"/>
      <c r="I28" s="2"/>
      <c r="J28" s="2" t="str">
        <f t="shared" si="0"/>
        <v/>
      </c>
      <c r="K28" s="2" t="str">
        <f>IFERROR(SMALL(J$23:J$26,F28),"")</f>
        <v/>
      </c>
      <c r="L28" s="2"/>
      <c r="M28" s="2"/>
      <c r="N28" s="2"/>
      <c r="O28" s="2"/>
      <c r="P28" s="2"/>
      <c r="Q28" s="2"/>
      <c r="R28" s="2"/>
      <c r="S28" s="2"/>
      <c r="U28" s="2">
        <v>6</v>
      </c>
      <c r="V28" s="53" t="s">
        <v>11</v>
      </c>
      <c r="W28" s="16"/>
      <c r="X28" s="2"/>
      <c r="Y28" s="2">
        <f t="shared" si="1"/>
        <v>6</v>
      </c>
      <c r="Z28" s="2" t="str">
        <f>IFERROR(SMALL(Y$23:Y$26,U28),"")</f>
        <v/>
      </c>
      <c r="AA28" s="2"/>
      <c r="AB28" s="2"/>
      <c r="AC28" s="2"/>
      <c r="AD28" s="2"/>
      <c r="AE28" s="2"/>
      <c r="AF28" s="2"/>
      <c r="AG28" s="2"/>
      <c r="AH28" s="2"/>
      <c r="AI28" s="2">
        <v>6</v>
      </c>
      <c r="AJ28" s="53" t="s">
        <v>11</v>
      </c>
      <c r="AK28" s="16"/>
      <c r="AL28" s="2"/>
      <c r="AM28" s="2">
        <f t="shared" si="2"/>
        <v>6</v>
      </c>
      <c r="AN28" s="2" t="str">
        <f>IFERROR(SMALL(AM$23:AM$26,AI28),"")</f>
        <v/>
      </c>
      <c r="AO28" s="2"/>
      <c r="AP28" s="2"/>
      <c r="AQ28" s="2"/>
      <c r="AR28" s="2"/>
      <c r="AS28" s="2"/>
      <c r="AT28" s="2"/>
      <c r="AU28" s="2"/>
      <c r="AW28" s="2">
        <v>6</v>
      </c>
      <c r="AX28" s="53" t="s">
        <v>11</v>
      </c>
      <c r="AY28" s="16"/>
      <c r="AZ28" s="2"/>
      <c r="BA28" s="2">
        <f t="shared" si="3"/>
        <v>6</v>
      </c>
      <c r="BB28" s="2" t="str">
        <f>IFERROR(SMALL(BA$23:BA$26,AW28),"")</f>
        <v/>
      </c>
      <c r="BC28" s="2"/>
      <c r="BD28" s="2"/>
      <c r="BE28" s="2"/>
      <c r="BF28" s="2"/>
      <c r="BG28" s="2"/>
      <c r="BH28" s="2"/>
      <c r="BK28" s="2">
        <v>6</v>
      </c>
      <c r="BL28" s="53" t="s">
        <v>11</v>
      </c>
      <c r="BM28" s="16"/>
      <c r="BN28" s="2"/>
      <c r="BO28" s="2">
        <f t="shared" si="4"/>
        <v>6</v>
      </c>
      <c r="BP28" s="2" t="str">
        <f>IFERROR(SMALL(BO$23:BO$26,BK28),"")</f>
        <v/>
      </c>
      <c r="BQ28" s="2"/>
      <c r="BR28" s="2"/>
      <c r="BS28" s="2"/>
      <c r="BT28" s="2"/>
      <c r="BU28" s="2"/>
      <c r="BV28" s="2">
        <v>6</v>
      </c>
      <c r="BW28" s="53" t="s">
        <v>11</v>
      </c>
      <c r="BX28" s="16"/>
      <c r="BY28" s="2"/>
      <c r="BZ28" s="2">
        <f t="shared" si="5"/>
        <v>6</v>
      </c>
      <c r="CA28" s="2" t="str">
        <f>IFERROR(SMALL(BZ$23:BZ$26,BV28),"")</f>
        <v/>
      </c>
      <c r="CB28" s="2"/>
      <c r="CC28" s="2"/>
      <c r="CD28" s="2"/>
      <c r="CE28" s="2"/>
      <c r="CF28" s="2"/>
      <c r="CG28" s="2"/>
    </row>
    <row r="29" spans="5:85" hidden="1">
      <c r="F29" s="2"/>
      <c r="G29" s="16" t="s">
        <v>41</v>
      </c>
      <c r="H29" s="16"/>
      <c r="I29" s="2"/>
      <c r="J29" s="2"/>
      <c r="K29" s="2"/>
      <c r="L29" s="2"/>
      <c r="M29" s="2"/>
      <c r="N29" s="2"/>
      <c r="O29" s="2"/>
      <c r="P29" s="2"/>
      <c r="Q29" s="2"/>
      <c r="R29" s="2"/>
      <c r="S29" s="2"/>
      <c r="U29" s="2"/>
      <c r="V29" s="16" t="s">
        <v>41</v>
      </c>
      <c r="W29" s="16"/>
      <c r="X29" s="2"/>
      <c r="Y29" s="2"/>
      <c r="Z29" s="2"/>
      <c r="AA29" s="2"/>
      <c r="AB29" s="2"/>
      <c r="AC29" s="2"/>
      <c r="AD29" s="2"/>
      <c r="AE29" s="2"/>
      <c r="AF29" s="2"/>
      <c r="AG29" s="2"/>
      <c r="AH29" s="2"/>
      <c r="AI29" s="2"/>
      <c r="AJ29" s="16"/>
      <c r="AK29" s="16"/>
      <c r="AL29" s="2"/>
      <c r="AM29" s="2"/>
      <c r="AN29" s="2"/>
      <c r="AO29" s="2"/>
      <c r="AP29" s="2"/>
      <c r="AQ29" s="2"/>
      <c r="AR29" s="2"/>
      <c r="AS29" s="2"/>
      <c r="AT29" s="2"/>
      <c r="AU29" s="2"/>
      <c r="AW29" s="2"/>
      <c r="AX29" s="16"/>
      <c r="AY29" s="16"/>
      <c r="AZ29" s="2"/>
      <c r="BA29" s="2"/>
      <c r="BB29" s="2"/>
      <c r="BC29" s="2"/>
      <c r="BD29" s="2"/>
      <c r="BE29" s="2"/>
      <c r="BF29" s="2"/>
      <c r="BG29" s="2"/>
      <c r="BH29" s="2"/>
      <c r="BK29" s="2"/>
      <c r="BL29" s="33" t="s">
        <v>42</v>
      </c>
      <c r="BM29" s="16"/>
      <c r="BO29" s="38" t="s">
        <v>43</v>
      </c>
      <c r="BP29" s="2"/>
      <c r="BQ29" s="33" t="s">
        <v>42</v>
      </c>
      <c r="BR29" s="16"/>
      <c r="BT29" s="38" t="s">
        <v>44</v>
      </c>
      <c r="BU29" s="2"/>
      <c r="BV29" s="2"/>
      <c r="BW29" s="33" t="s">
        <v>42</v>
      </c>
      <c r="BX29" s="16"/>
      <c r="BZ29" s="38" t="s">
        <v>43</v>
      </c>
      <c r="CA29" s="2"/>
      <c r="CB29" s="33" t="s">
        <v>42</v>
      </c>
      <c r="CC29" s="16"/>
      <c r="CE29" s="38" t="s">
        <v>44</v>
      </c>
      <c r="CF29" s="2"/>
      <c r="CG29" s="2"/>
    </row>
    <row r="30" spans="5:85" hidden="1">
      <c r="F30" s="2"/>
      <c r="G30" s="16"/>
      <c r="H30" s="16"/>
      <c r="I30" s="2"/>
      <c r="J30" s="2"/>
      <c r="K30" s="2"/>
      <c r="L30" s="2"/>
      <c r="M30" s="2"/>
      <c r="N30" s="2"/>
      <c r="O30" s="2"/>
      <c r="P30" s="2"/>
      <c r="Q30" s="2"/>
      <c r="R30" s="2"/>
      <c r="S30" s="2"/>
      <c r="U30" s="2"/>
      <c r="V30" s="16"/>
      <c r="W30" s="16"/>
      <c r="X30" s="2"/>
      <c r="Y30" s="2"/>
      <c r="Z30" s="2"/>
      <c r="AA30" s="2"/>
      <c r="AB30" s="2"/>
      <c r="AC30" s="2"/>
      <c r="AD30" s="2"/>
      <c r="AE30" s="2"/>
      <c r="AF30" s="2"/>
      <c r="AG30" s="2"/>
      <c r="AH30" s="2"/>
      <c r="AI30" s="2"/>
      <c r="AJ30" s="33" t="s">
        <v>42</v>
      </c>
      <c r="AK30" s="16"/>
      <c r="AM30" s="38" t="s">
        <v>43</v>
      </c>
      <c r="AN30" s="2"/>
      <c r="AO30" s="33" t="s">
        <v>42</v>
      </c>
      <c r="AP30" s="16"/>
      <c r="AR30" s="38" t="s">
        <v>44</v>
      </c>
      <c r="AS30" s="2"/>
      <c r="AT30" s="2"/>
      <c r="AU30" s="2"/>
      <c r="AW30" s="2"/>
      <c r="AX30" s="33" t="s">
        <v>42</v>
      </c>
      <c r="AY30" s="16"/>
      <c r="BA30" s="38" t="s">
        <v>43</v>
      </c>
      <c r="BB30" s="2"/>
      <c r="BC30" s="33" t="s">
        <v>42</v>
      </c>
      <c r="BD30" s="16"/>
      <c r="BF30" s="38" t="s">
        <v>44</v>
      </c>
      <c r="BG30" s="2"/>
      <c r="BH30" s="2"/>
      <c r="BK30" s="2"/>
      <c r="BL30" s="16"/>
      <c r="BM30" s="16" t="s">
        <v>36</v>
      </c>
      <c r="BN30" s="34" t="s">
        <v>36</v>
      </c>
      <c r="BO30" s="36"/>
      <c r="BP30" s="37"/>
      <c r="BQ30" s="16"/>
      <c r="BR30" s="16" t="s">
        <v>36</v>
      </c>
      <c r="BS30" s="34" t="s">
        <v>36</v>
      </c>
      <c r="BT30" s="36"/>
      <c r="BU30" s="2"/>
      <c r="BV30" s="2"/>
      <c r="BW30" s="16"/>
      <c r="BX30" s="16" t="s">
        <v>36</v>
      </c>
      <c r="BY30" s="34" t="s">
        <v>36</v>
      </c>
      <c r="BZ30" s="36"/>
      <c r="CA30" s="37"/>
      <c r="CB30" s="16"/>
      <c r="CC30" s="16" t="s">
        <v>36</v>
      </c>
      <c r="CD30" s="34" t="s">
        <v>36</v>
      </c>
      <c r="CE30" s="36"/>
      <c r="CF30" s="2"/>
      <c r="CG30" s="2"/>
    </row>
    <row r="31" spans="5:85" hidden="1">
      <c r="F31" s="2"/>
      <c r="G31" s="33" t="s">
        <v>42</v>
      </c>
      <c r="H31" s="16"/>
      <c r="J31" s="38" t="s">
        <v>43</v>
      </c>
      <c r="K31" s="2"/>
      <c r="L31" s="33" t="s">
        <v>42</v>
      </c>
      <c r="M31" s="16"/>
      <c r="O31" s="38" t="s">
        <v>44</v>
      </c>
      <c r="P31" s="2"/>
      <c r="Q31" s="2"/>
      <c r="R31" s="2"/>
      <c r="S31" s="2"/>
      <c r="U31" s="2"/>
      <c r="V31" s="33" t="s">
        <v>42</v>
      </c>
      <c r="W31" s="16"/>
      <c r="Y31" s="38" t="s">
        <v>43</v>
      </c>
      <c r="Z31" s="2"/>
      <c r="AA31" s="33" t="s">
        <v>42</v>
      </c>
      <c r="AB31" s="16"/>
      <c r="AD31" s="38" t="s">
        <v>44</v>
      </c>
      <c r="AE31" s="2"/>
      <c r="AF31" s="2"/>
      <c r="AG31" s="2"/>
      <c r="AH31" s="2"/>
      <c r="AI31" s="2"/>
      <c r="AJ31" s="16"/>
      <c r="AK31" s="16" t="s">
        <v>36</v>
      </c>
      <c r="AL31" s="34" t="s">
        <v>36</v>
      </c>
      <c r="AM31" s="36"/>
      <c r="AN31" s="37"/>
      <c r="AO31" s="16"/>
      <c r="AP31" s="16" t="s">
        <v>36</v>
      </c>
      <c r="AQ31" s="34" t="s">
        <v>36</v>
      </c>
      <c r="AR31" s="36"/>
      <c r="AS31" s="2"/>
      <c r="AT31" s="2"/>
      <c r="AU31" s="2"/>
      <c r="AW31" s="2"/>
      <c r="AX31" s="16"/>
      <c r="AY31" s="16" t="s">
        <v>36</v>
      </c>
      <c r="AZ31" s="34" t="s">
        <v>36</v>
      </c>
      <c r="BA31" s="36"/>
      <c r="BB31" s="37"/>
      <c r="BC31" s="16"/>
      <c r="BD31" s="16" t="s">
        <v>36</v>
      </c>
      <c r="BE31" s="34" t="s">
        <v>36</v>
      </c>
      <c r="BF31" s="36"/>
      <c r="BG31" s="2"/>
      <c r="BH31" s="2"/>
      <c r="BK31" s="2">
        <v>1</v>
      </c>
      <c r="BL31" s="2" t="s">
        <v>18</v>
      </c>
      <c r="BM31" s="16" t="str">
        <f>IF((N$9=BL31),BK31,"")</f>
        <v/>
      </c>
      <c r="BN31" s="2" t="str">
        <f>IFERROR(SMALL(BM$31:BM$39,BK31),"")</f>
        <v/>
      </c>
      <c r="BO31" s="35"/>
      <c r="BP31" s="2">
        <v>1</v>
      </c>
      <c r="BQ31" s="2" t="s">
        <v>18</v>
      </c>
      <c r="BR31" s="35" t="str">
        <f>IF((N$9=BQ31),BP31,"")</f>
        <v/>
      </c>
      <c r="BS31" s="2" t="str">
        <f>IFERROR(SMALL(BR$31:BR$37,BP31),"")</f>
        <v/>
      </c>
      <c r="BT31" s="2"/>
      <c r="BU31" s="2"/>
      <c r="BV31" s="2">
        <v>1</v>
      </c>
      <c r="BW31" s="2" t="s">
        <v>18</v>
      </c>
      <c r="BX31" s="16" t="str">
        <f>IF((O$9=BW31),BV31,"")</f>
        <v/>
      </c>
      <c r="BY31" s="2" t="str">
        <f>IFERROR(SMALL(BX$31:BX$39,BV31),"")</f>
        <v/>
      </c>
      <c r="BZ31" s="35"/>
      <c r="CA31" s="2">
        <v>1</v>
      </c>
      <c r="CB31" s="2" t="s">
        <v>18</v>
      </c>
      <c r="CC31" s="35" t="str">
        <f>IF((O$9=CB31),CA31,"")</f>
        <v/>
      </c>
      <c r="CD31" s="2" t="str">
        <f>IFERROR(SMALL(CC$31:CC$37,CA31),"")</f>
        <v/>
      </c>
      <c r="CE31" s="2"/>
      <c r="CF31" s="2"/>
      <c r="CG31" s="2"/>
    </row>
    <row r="32" spans="5:85" hidden="1">
      <c r="F32" s="2"/>
      <c r="G32" s="16"/>
      <c r="H32" s="16" t="s">
        <v>36</v>
      </c>
      <c r="I32" s="34" t="s">
        <v>36</v>
      </c>
      <c r="J32" s="36"/>
      <c r="K32" s="37"/>
      <c r="L32" s="16"/>
      <c r="M32" s="16" t="s">
        <v>36</v>
      </c>
      <c r="N32" s="34" t="s">
        <v>36</v>
      </c>
      <c r="O32" s="36"/>
      <c r="P32" s="2"/>
      <c r="Q32" s="2"/>
      <c r="R32" s="2"/>
      <c r="S32" s="2"/>
      <c r="U32" s="2"/>
      <c r="V32" s="16"/>
      <c r="W32" s="16" t="s">
        <v>36</v>
      </c>
      <c r="X32" s="34" t="s">
        <v>36</v>
      </c>
      <c r="Y32" s="36"/>
      <c r="Z32" s="37"/>
      <c r="AA32" s="16"/>
      <c r="AB32" s="16" t="s">
        <v>36</v>
      </c>
      <c r="AC32" s="34" t="s">
        <v>36</v>
      </c>
      <c r="AD32" s="36"/>
      <c r="AE32" s="2"/>
      <c r="AF32" s="2"/>
      <c r="AG32" s="2"/>
      <c r="AH32" s="2"/>
      <c r="AI32" s="2">
        <v>1</v>
      </c>
      <c r="AJ32" s="2" t="s">
        <v>18</v>
      </c>
      <c r="AK32" s="16" t="str">
        <f>IF((L$9=AJ32),AI32,"")</f>
        <v/>
      </c>
      <c r="AL32" s="2" t="str">
        <f>IFERROR(SMALL(AK$32:AK$40,AI32),"")</f>
        <v/>
      </c>
      <c r="AM32" s="35"/>
      <c r="AN32" s="2">
        <v>1</v>
      </c>
      <c r="AO32" s="2" t="s">
        <v>18</v>
      </c>
      <c r="AP32" s="35" t="str">
        <f>IF((L$9=AO32),AN32,"")</f>
        <v/>
      </c>
      <c r="AQ32" s="2" t="str">
        <f>IFERROR(SMALL(AP$32:AP$38,AN32),"")</f>
        <v/>
      </c>
      <c r="AR32" s="2"/>
      <c r="AS32" s="2"/>
      <c r="AT32" s="2"/>
      <c r="AU32" s="2"/>
      <c r="AW32" s="2">
        <v>1</v>
      </c>
      <c r="AX32" s="2" t="s">
        <v>18</v>
      </c>
      <c r="AY32" s="16" t="str">
        <f>IF((M$9=AX32),AW32,"")</f>
        <v/>
      </c>
      <c r="AZ32" s="2" t="str">
        <f>IFERROR(SMALL(AY$32:AY$40,AW32),"")</f>
        <v/>
      </c>
      <c r="BA32" s="35"/>
      <c r="BB32" s="2">
        <v>1</v>
      </c>
      <c r="BC32" s="2" t="s">
        <v>18</v>
      </c>
      <c r="BD32" s="35" t="str">
        <f>IF((M$9=BC32),BB32,"")</f>
        <v/>
      </c>
      <c r="BE32" s="2" t="str">
        <f>IFERROR(SMALL(BD$32:BD$38,BB32),"")</f>
        <v/>
      </c>
      <c r="BF32" s="2"/>
      <c r="BG32" s="2"/>
      <c r="BH32" s="2"/>
      <c r="BK32" s="2">
        <v>2</v>
      </c>
      <c r="BL32" s="2" t="s">
        <v>45</v>
      </c>
      <c r="BM32" s="16" t="str">
        <f>IF((N$9=BL32),BK32,"")</f>
        <v/>
      </c>
      <c r="BN32" s="2"/>
      <c r="BO32" s="35"/>
      <c r="BP32" s="38">
        <v>2</v>
      </c>
      <c r="BQ32" s="39" t="s">
        <v>45</v>
      </c>
      <c r="BR32" s="35" t="str">
        <f t="shared" ref="BR32:BR37" si="6">IF((N$9=BQ32),BP32,"")</f>
        <v/>
      </c>
      <c r="BS32" s="2" t="str">
        <f t="shared" ref="BS32:BS37" si="7">IFERROR(SMALL(BQ$34:BQ$40,BP33),"")</f>
        <v/>
      </c>
      <c r="BT32" s="2"/>
      <c r="BU32" s="2"/>
      <c r="BV32" s="2">
        <v>2</v>
      </c>
      <c r="BW32" s="2" t="s">
        <v>45</v>
      </c>
      <c r="BX32" s="16" t="str">
        <f t="shared" ref="BX32:BX39" si="8">IF((O$9=BW32),BV32,"")</f>
        <v/>
      </c>
      <c r="BY32" s="2"/>
      <c r="BZ32" s="35"/>
      <c r="CA32" s="38">
        <v>2</v>
      </c>
      <c r="CB32" s="39" t="s">
        <v>45</v>
      </c>
      <c r="CC32" s="35" t="str">
        <f t="shared" ref="CC32:CC37" si="9">IF((O$9=CB32),CA32,"")</f>
        <v/>
      </c>
      <c r="CD32" s="2" t="str">
        <f t="shared" ref="CD32:CD37" si="10">IFERROR(SMALL(CB$34:CB$40,CA33),"")</f>
        <v/>
      </c>
      <c r="CE32" s="2"/>
      <c r="CF32" s="2"/>
      <c r="CG32" s="2"/>
    </row>
    <row r="33" spans="6:85" hidden="1">
      <c r="F33" s="2">
        <v>1</v>
      </c>
      <c r="G33" s="2" t="s">
        <v>18</v>
      </c>
      <c r="H33" s="16">
        <f>IF((J$9=G33),F33,"")</f>
        <v>1</v>
      </c>
      <c r="I33" s="2">
        <f>IFERROR(SMALL(H$33:H$42,F33),"")</f>
        <v>1</v>
      </c>
      <c r="J33" s="35"/>
      <c r="K33" s="2">
        <v>1</v>
      </c>
      <c r="L33" s="2" t="s">
        <v>18</v>
      </c>
      <c r="M33" s="35">
        <f>IF((J$9=L33),K33,"")</f>
        <v>1</v>
      </c>
      <c r="N33" s="2">
        <f>IFERROR(SMALL(M$33:M$40,K33),"")</f>
        <v>1</v>
      </c>
      <c r="O33" s="2"/>
      <c r="P33" s="2"/>
      <c r="Q33" s="2"/>
      <c r="R33" s="2"/>
      <c r="S33" s="2"/>
      <c r="U33" s="2">
        <v>1</v>
      </c>
      <c r="V33" s="2" t="s">
        <v>18</v>
      </c>
      <c r="W33" s="16" t="str">
        <f>IF((K$9=V33),U33,"")</f>
        <v/>
      </c>
      <c r="X33" s="2">
        <f>IFERROR(SMALL(W$33:W$42,U33),"")</f>
        <v>10</v>
      </c>
      <c r="Y33" s="35"/>
      <c r="Z33" s="2">
        <v>1</v>
      </c>
      <c r="AA33" s="2" t="s">
        <v>18</v>
      </c>
      <c r="AB33" s="35" t="str">
        <f>IF((K$9=AA33),Z33,"")</f>
        <v/>
      </c>
      <c r="AC33" s="2" t="str">
        <f>IFERROR(SMALL(AB$33:AB$39,Z33),"")</f>
        <v/>
      </c>
      <c r="AD33" s="2"/>
      <c r="AE33" s="2"/>
      <c r="AF33" s="2"/>
      <c r="AG33" s="2"/>
      <c r="AH33" s="2"/>
      <c r="AI33" s="2">
        <v>2</v>
      </c>
      <c r="AJ33" s="2" t="s">
        <v>45</v>
      </c>
      <c r="AK33" s="16" t="str">
        <f t="shared" ref="AK33:AK40" si="11">IF((L$9=AJ33),AI33,"")</f>
        <v/>
      </c>
      <c r="AL33" s="2"/>
      <c r="AM33" s="35"/>
      <c r="AN33" s="38">
        <v>2</v>
      </c>
      <c r="AO33" s="39" t="s">
        <v>45</v>
      </c>
      <c r="AP33" s="35" t="str">
        <f>IF((L$9=AO33),AN33,"")</f>
        <v/>
      </c>
      <c r="AQ33" s="2" t="str">
        <f t="shared" ref="AQ33:AQ38" si="12">IFERROR(SMALL(AO$34:AO$40,AN34),"")</f>
        <v/>
      </c>
      <c r="AR33" s="2"/>
      <c r="AS33" s="2"/>
      <c r="AT33" s="2"/>
      <c r="AU33" s="2"/>
      <c r="AW33" s="2">
        <v>2</v>
      </c>
      <c r="AX33" s="2" t="s">
        <v>45</v>
      </c>
      <c r="AY33" s="16" t="str">
        <f t="shared" ref="AY33:AY40" si="13">IF((M$9=AX33),AW33,"")</f>
        <v/>
      </c>
      <c r="AZ33" s="2"/>
      <c r="BA33" s="35"/>
      <c r="BB33" s="38">
        <v>2</v>
      </c>
      <c r="BC33" s="39" t="s">
        <v>45</v>
      </c>
      <c r="BD33" s="35" t="str">
        <f t="shared" ref="BD33:BD38" si="14">IF((M$9=BC33),BB33,"")</f>
        <v/>
      </c>
      <c r="BE33" s="2" t="str">
        <f t="shared" ref="BE33:BE38" si="15">IFERROR(SMALL(BC$34:BC$40,BB34),"")</f>
        <v/>
      </c>
      <c r="BF33" s="2"/>
      <c r="BG33" s="2"/>
      <c r="BH33" s="2"/>
      <c r="BK33" s="2">
        <v>3</v>
      </c>
      <c r="BL33" s="2" t="s">
        <v>46</v>
      </c>
      <c r="BM33" s="16" t="str">
        <f t="shared" ref="BM33:BM39" si="16">IF((N$9=BL33),BK33,"")</f>
        <v/>
      </c>
      <c r="BN33" s="2"/>
      <c r="BO33" s="35"/>
      <c r="BP33" s="38">
        <v>3</v>
      </c>
      <c r="BQ33" s="39" t="s">
        <v>46</v>
      </c>
      <c r="BR33" s="35" t="str">
        <f>IF((N$9=BQ33),BP33,"")</f>
        <v/>
      </c>
      <c r="BS33" s="2" t="str">
        <f t="shared" si="7"/>
        <v/>
      </c>
      <c r="BT33" s="2"/>
      <c r="BU33" s="2"/>
      <c r="BV33" s="2">
        <v>3</v>
      </c>
      <c r="BW33" s="2" t="s">
        <v>46</v>
      </c>
      <c r="BX33" s="16" t="str">
        <f t="shared" si="8"/>
        <v/>
      </c>
      <c r="BY33" s="2"/>
      <c r="BZ33" s="35"/>
      <c r="CA33" s="38">
        <v>3</v>
      </c>
      <c r="CB33" s="39" t="s">
        <v>46</v>
      </c>
      <c r="CC33" s="35" t="str">
        <f t="shared" si="9"/>
        <v/>
      </c>
      <c r="CD33" s="2" t="str">
        <f t="shared" si="10"/>
        <v/>
      </c>
      <c r="CE33" s="2"/>
      <c r="CF33" s="2"/>
      <c r="CG33" s="2"/>
    </row>
    <row r="34" spans="6:85" hidden="1">
      <c r="F34" s="2">
        <v>2</v>
      </c>
      <c r="G34" s="2" t="s">
        <v>45</v>
      </c>
      <c r="H34" s="16" t="str">
        <f t="shared" ref="H34:H42" si="17">IF((J$9=G34),F34,"")</f>
        <v/>
      </c>
      <c r="I34" s="2"/>
      <c r="J34" s="35"/>
      <c r="K34" s="38">
        <v>2</v>
      </c>
      <c r="L34" s="39" t="s">
        <v>45</v>
      </c>
      <c r="M34" s="35" t="str">
        <f t="shared" ref="M34:M40" si="18">IF((J$9=L34),K34,"")</f>
        <v/>
      </c>
      <c r="N34" s="2" t="str">
        <f t="shared" ref="N34:N39" si="19">IFERROR(SMALL(L$34:L$40,K35),"")</f>
        <v/>
      </c>
      <c r="O34" s="2"/>
      <c r="P34" s="2"/>
      <c r="Q34" s="2"/>
      <c r="R34" s="2"/>
      <c r="S34" s="2"/>
      <c r="U34" s="2">
        <v>2</v>
      </c>
      <c r="V34" s="2" t="s">
        <v>45</v>
      </c>
      <c r="W34" s="16" t="str">
        <f t="shared" ref="W34:W42" si="20">IF((K$9=V34),U34,"")</f>
        <v/>
      </c>
      <c r="X34" s="2"/>
      <c r="Y34" s="35"/>
      <c r="Z34" s="38">
        <v>2</v>
      </c>
      <c r="AA34" s="39" t="s">
        <v>45</v>
      </c>
      <c r="AB34" s="35" t="str">
        <f t="shared" ref="AB34:AB40" si="21">IF((K$9=AA34),Z34,"")</f>
        <v/>
      </c>
      <c r="AC34" s="2" t="str">
        <f t="shared" ref="AC34:AC39" si="22">IFERROR(SMALL(AA$34:AA$40,Z35),"")</f>
        <v/>
      </c>
      <c r="AD34" s="2"/>
      <c r="AE34" s="2"/>
      <c r="AF34" s="2"/>
      <c r="AG34" s="2"/>
      <c r="AH34" s="2"/>
      <c r="AI34" s="2">
        <v>3</v>
      </c>
      <c r="AJ34" s="2" t="s">
        <v>46</v>
      </c>
      <c r="AK34" s="16" t="str">
        <f t="shared" si="11"/>
        <v/>
      </c>
      <c r="AL34" s="2"/>
      <c r="AM34" s="35"/>
      <c r="AN34" s="38">
        <v>3</v>
      </c>
      <c r="AO34" s="39" t="s">
        <v>46</v>
      </c>
      <c r="AP34" s="35" t="str">
        <f t="shared" ref="AP34:AP38" si="23">IF((L$9=AO34),AN34,"")</f>
        <v/>
      </c>
      <c r="AQ34" s="2" t="str">
        <f t="shared" si="12"/>
        <v/>
      </c>
      <c r="AR34" s="2"/>
      <c r="AS34" s="2"/>
      <c r="AT34" s="2"/>
      <c r="AU34" s="2"/>
      <c r="AW34" s="2">
        <v>3</v>
      </c>
      <c r="AX34" s="2" t="s">
        <v>46</v>
      </c>
      <c r="AY34" s="16" t="str">
        <f t="shared" si="13"/>
        <v/>
      </c>
      <c r="AZ34" s="2"/>
      <c r="BA34" s="35"/>
      <c r="BB34" s="38">
        <v>3</v>
      </c>
      <c r="BC34" s="39" t="s">
        <v>46</v>
      </c>
      <c r="BD34" s="35" t="str">
        <f t="shared" si="14"/>
        <v/>
      </c>
      <c r="BE34" s="2" t="str">
        <f t="shared" si="15"/>
        <v/>
      </c>
      <c r="BF34" s="2"/>
      <c r="BG34" s="2"/>
      <c r="BH34" s="2"/>
      <c r="BK34" s="2">
        <v>4</v>
      </c>
      <c r="BL34" s="2" t="s">
        <v>47</v>
      </c>
      <c r="BM34" s="16" t="str">
        <f t="shared" si="16"/>
        <v/>
      </c>
      <c r="BN34" s="2"/>
      <c r="BO34" s="35"/>
      <c r="BP34" s="38">
        <v>4</v>
      </c>
      <c r="BQ34" s="39" t="s">
        <v>47</v>
      </c>
      <c r="BR34" s="35" t="str">
        <f t="shared" si="6"/>
        <v/>
      </c>
      <c r="BS34" s="2" t="str">
        <f t="shared" si="7"/>
        <v/>
      </c>
      <c r="BT34" s="2"/>
      <c r="BU34" s="2"/>
      <c r="BV34" s="2">
        <v>4</v>
      </c>
      <c r="BW34" s="2" t="s">
        <v>47</v>
      </c>
      <c r="BX34" s="16" t="str">
        <f t="shared" si="8"/>
        <v/>
      </c>
      <c r="BY34" s="2"/>
      <c r="BZ34" s="35"/>
      <c r="CA34" s="38">
        <v>4</v>
      </c>
      <c r="CB34" s="39" t="s">
        <v>47</v>
      </c>
      <c r="CC34" s="35" t="str">
        <f t="shared" si="9"/>
        <v/>
      </c>
      <c r="CD34" s="2" t="str">
        <f t="shared" si="10"/>
        <v/>
      </c>
      <c r="CE34" s="2"/>
      <c r="CF34" s="2"/>
      <c r="CG34" s="2"/>
    </row>
    <row r="35" spans="6:85" hidden="1">
      <c r="F35" s="2">
        <v>3</v>
      </c>
      <c r="G35" s="2" t="s">
        <v>46</v>
      </c>
      <c r="H35" s="16" t="str">
        <f t="shared" si="17"/>
        <v/>
      </c>
      <c r="I35" s="2"/>
      <c r="J35" s="35"/>
      <c r="K35" s="38">
        <v>3</v>
      </c>
      <c r="L35" s="39" t="s">
        <v>46</v>
      </c>
      <c r="M35" s="35" t="str">
        <f t="shared" si="18"/>
        <v/>
      </c>
      <c r="N35" s="2" t="str">
        <f t="shared" si="19"/>
        <v/>
      </c>
      <c r="O35" s="2"/>
      <c r="P35" s="2"/>
      <c r="Q35" s="2"/>
      <c r="R35" s="2"/>
      <c r="S35" s="2"/>
      <c r="U35" s="2">
        <v>3</v>
      </c>
      <c r="V35" s="2" t="s">
        <v>46</v>
      </c>
      <c r="W35" s="16" t="str">
        <f t="shared" si="20"/>
        <v/>
      </c>
      <c r="X35" s="2"/>
      <c r="Y35" s="35"/>
      <c r="Z35" s="38">
        <v>3</v>
      </c>
      <c r="AA35" s="39" t="s">
        <v>46</v>
      </c>
      <c r="AB35" s="35" t="str">
        <f t="shared" si="21"/>
        <v/>
      </c>
      <c r="AC35" s="2" t="str">
        <f t="shared" si="22"/>
        <v/>
      </c>
      <c r="AD35" s="2"/>
      <c r="AE35" s="2"/>
      <c r="AF35" s="2"/>
      <c r="AG35" s="2"/>
      <c r="AH35" s="2"/>
      <c r="AI35" s="2">
        <v>4</v>
      </c>
      <c r="AJ35" s="2" t="s">
        <v>47</v>
      </c>
      <c r="AK35" s="16" t="str">
        <f t="shared" si="11"/>
        <v/>
      </c>
      <c r="AL35" s="2"/>
      <c r="AM35" s="35"/>
      <c r="AN35" s="38">
        <v>4</v>
      </c>
      <c r="AO35" s="39" t="s">
        <v>47</v>
      </c>
      <c r="AP35" s="35" t="str">
        <f t="shared" si="23"/>
        <v/>
      </c>
      <c r="AQ35" s="2" t="str">
        <f t="shared" si="12"/>
        <v/>
      </c>
      <c r="AR35" s="2"/>
      <c r="AS35" s="2"/>
      <c r="AT35" s="2"/>
      <c r="AU35" s="2"/>
      <c r="AW35" s="2">
        <v>4</v>
      </c>
      <c r="AX35" s="2" t="s">
        <v>47</v>
      </c>
      <c r="AY35" s="16" t="str">
        <f t="shared" si="13"/>
        <v/>
      </c>
      <c r="AZ35" s="2"/>
      <c r="BA35" s="35"/>
      <c r="BB35" s="38">
        <v>4</v>
      </c>
      <c r="BC35" s="39" t="s">
        <v>47</v>
      </c>
      <c r="BD35" s="35" t="str">
        <f t="shared" si="14"/>
        <v/>
      </c>
      <c r="BE35" s="2" t="str">
        <f t="shared" si="15"/>
        <v/>
      </c>
      <c r="BF35" s="2"/>
      <c r="BG35" s="2"/>
      <c r="BH35" s="2"/>
      <c r="BK35" s="2">
        <v>5</v>
      </c>
      <c r="BL35" s="2" t="s">
        <v>48</v>
      </c>
      <c r="BM35" s="16" t="str">
        <f t="shared" si="16"/>
        <v/>
      </c>
      <c r="BN35" s="2"/>
      <c r="BO35" s="35"/>
      <c r="BP35" s="38">
        <v>5</v>
      </c>
      <c r="BQ35" s="39" t="s">
        <v>48</v>
      </c>
      <c r="BR35" s="35" t="str">
        <f t="shared" si="6"/>
        <v/>
      </c>
      <c r="BS35" s="2" t="str">
        <f t="shared" si="7"/>
        <v/>
      </c>
      <c r="BT35" s="2"/>
      <c r="BU35" s="2"/>
      <c r="BV35" s="2">
        <v>5</v>
      </c>
      <c r="BW35" s="2" t="s">
        <v>48</v>
      </c>
      <c r="BX35" s="16" t="str">
        <f t="shared" si="8"/>
        <v/>
      </c>
      <c r="BY35" s="2"/>
      <c r="BZ35" s="35"/>
      <c r="CA35" s="38">
        <v>5</v>
      </c>
      <c r="CB35" s="39" t="s">
        <v>48</v>
      </c>
      <c r="CC35" s="35" t="str">
        <f t="shared" si="9"/>
        <v/>
      </c>
      <c r="CD35" s="2" t="str">
        <f t="shared" si="10"/>
        <v/>
      </c>
      <c r="CE35" s="2"/>
      <c r="CF35" s="2"/>
      <c r="CG35" s="2"/>
    </row>
    <row r="36" spans="6:85" hidden="1">
      <c r="F36" s="2">
        <v>4</v>
      </c>
      <c r="G36" s="2" t="s">
        <v>47</v>
      </c>
      <c r="H36" s="16" t="str">
        <f t="shared" si="17"/>
        <v/>
      </c>
      <c r="I36" s="2"/>
      <c r="J36" s="35"/>
      <c r="K36" s="38">
        <v>4</v>
      </c>
      <c r="L36" s="39" t="s">
        <v>47</v>
      </c>
      <c r="M36" s="35" t="str">
        <f t="shared" si="18"/>
        <v/>
      </c>
      <c r="N36" s="2" t="str">
        <f t="shared" si="19"/>
        <v/>
      </c>
      <c r="O36" s="2"/>
      <c r="P36" s="2"/>
      <c r="Q36" s="2"/>
      <c r="R36" s="2"/>
      <c r="S36" s="2"/>
      <c r="U36" s="2">
        <v>4</v>
      </c>
      <c r="V36" s="2" t="s">
        <v>47</v>
      </c>
      <c r="W36" s="16" t="str">
        <f t="shared" si="20"/>
        <v/>
      </c>
      <c r="X36" s="2"/>
      <c r="Y36" s="35"/>
      <c r="Z36" s="38">
        <v>4</v>
      </c>
      <c r="AA36" s="39" t="s">
        <v>47</v>
      </c>
      <c r="AB36" s="35" t="str">
        <f t="shared" si="21"/>
        <v/>
      </c>
      <c r="AC36" s="2" t="str">
        <f t="shared" si="22"/>
        <v/>
      </c>
      <c r="AD36" s="2"/>
      <c r="AE36" s="2"/>
      <c r="AF36" s="2"/>
      <c r="AG36" s="2"/>
      <c r="AH36" s="2"/>
      <c r="AI36" s="2">
        <v>5</v>
      </c>
      <c r="AJ36" s="2" t="s">
        <v>48</v>
      </c>
      <c r="AK36" s="16" t="str">
        <f t="shared" si="11"/>
        <v/>
      </c>
      <c r="AL36" s="2"/>
      <c r="AM36" s="35"/>
      <c r="AN36" s="38">
        <v>5</v>
      </c>
      <c r="AO36" s="39" t="s">
        <v>48</v>
      </c>
      <c r="AP36" s="35" t="str">
        <f t="shared" si="23"/>
        <v/>
      </c>
      <c r="AQ36" s="2" t="str">
        <f t="shared" si="12"/>
        <v/>
      </c>
      <c r="AR36" s="2"/>
      <c r="AS36" s="2"/>
      <c r="AT36" s="2"/>
      <c r="AU36" s="2"/>
      <c r="AW36" s="2">
        <v>5</v>
      </c>
      <c r="AX36" s="2" t="s">
        <v>48</v>
      </c>
      <c r="AY36" s="16" t="str">
        <f t="shared" si="13"/>
        <v/>
      </c>
      <c r="AZ36" s="2"/>
      <c r="BA36" s="35"/>
      <c r="BB36" s="38">
        <v>5</v>
      </c>
      <c r="BC36" s="39" t="s">
        <v>48</v>
      </c>
      <c r="BD36" s="35" t="str">
        <f t="shared" si="14"/>
        <v/>
      </c>
      <c r="BE36" s="2" t="str">
        <f t="shared" si="15"/>
        <v/>
      </c>
      <c r="BF36" s="2"/>
      <c r="BG36" s="2"/>
      <c r="BH36" s="2"/>
      <c r="BK36" s="2">
        <v>6</v>
      </c>
      <c r="BL36" s="2" t="s">
        <v>49</v>
      </c>
      <c r="BM36" s="16" t="str">
        <f t="shared" si="16"/>
        <v/>
      </c>
      <c r="BN36" s="2"/>
      <c r="BO36" s="35"/>
      <c r="BP36" s="38">
        <v>6</v>
      </c>
      <c r="BQ36" s="39" t="s">
        <v>49</v>
      </c>
      <c r="BR36" s="35" t="str">
        <f t="shared" si="6"/>
        <v/>
      </c>
      <c r="BS36" s="2" t="str">
        <f t="shared" si="7"/>
        <v/>
      </c>
      <c r="BT36" s="2"/>
      <c r="BU36" s="2"/>
      <c r="BV36" s="2">
        <v>6</v>
      </c>
      <c r="BW36" s="2" t="s">
        <v>49</v>
      </c>
      <c r="BX36" s="16" t="str">
        <f t="shared" si="8"/>
        <v/>
      </c>
      <c r="BY36" s="2"/>
      <c r="BZ36" s="35"/>
      <c r="CA36" s="38">
        <v>6</v>
      </c>
      <c r="CB36" s="39" t="s">
        <v>49</v>
      </c>
      <c r="CC36" s="35" t="str">
        <f t="shared" si="9"/>
        <v/>
      </c>
      <c r="CD36" s="2" t="str">
        <f t="shared" si="10"/>
        <v/>
      </c>
      <c r="CE36" s="2"/>
      <c r="CF36" s="2"/>
      <c r="CG36" s="2"/>
    </row>
    <row r="37" spans="6:85" hidden="1">
      <c r="F37" s="2">
        <v>5</v>
      </c>
      <c r="G37" s="2" t="s">
        <v>48</v>
      </c>
      <c r="H37" s="16" t="str">
        <f>IF((J$9=G37),F37,"")</f>
        <v/>
      </c>
      <c r="I37" s="2"/>
      <c r="J37" s="35"/>
      <c r="K37" s="38">
        <v>5</v>
      </c>
      <c r="L37" s="39" t="s">
        <v>48</v>
      </c>
      <c r="M37" s="35" t="str">
        <f t="shared" si="18"/>
        <v/>
      </c>
      <c r="N37" s="2" t="str">
        <f t="shared" si="19"/>
        <v/>
      </c>
      <c r="O37" s="2"/>
      <c r="P37" s="2"/>
      <c r="Q37" s="2"/>
      <c r="R37" s="2"/>
      <c r="S37" s="2"/>
      <c r="U37" s="2">
        <v>5</v>
      </c>
      <c r="V37" s="2" t="s">
        <v>48</v>
      </c>
      <c r="W37" s="16" t="str">
        <f t="shared" si="20"/>
        <v/>
      </c>
      <c r="X37" s="2"/>
      <c r="Y37" s="35"/>
      <c r="Z37" s="38">
        <v>5</v>
      </c>
      <c r="AA37" s="39" t="s">
        <v>48</v>
      </c>
      <c r="AB37" s="35" t="str">
        <f t="shared" si="21"/>
        <v/>
      </c>
      <c r="AC37" s="2" t="str">
        <f t="shared" si="22"/>
        <v/>
      </c>
      <c r="AD37" s="2"/>
      <c r="AE37" s="2"/>
      <c r="AF37" s="2"/>
      <c r="AG37" s="2"/>
      <c r="AH37" s="2"/>
      <c r="AI37" s="2">
        <v>6</v>
      </c>
      <c r="AJ37" s="2" t="s">
        <v>49</v>
      </c>
      <c r="AK37" s="16" t="str">
        <f t="shared" si="11"/>
        <v/>
      </c>
      <c r="AL37" s="2"/>
      <c r="AM37" s="35"/>
      <c r="AN37" s="38">
        <v>6</v>
      </c>
      <c r="AO37" s="39" t="s">
        <v>49</v>
      </c>
      <c r="AP37" s="35" t="str">
        <f>IF((L$9=AO37),AN37,"")</f>
        <v/>
      </c>
      <c r="AQ37" s="2" t="str">
        <f t="shared" si="12"/>
        <v/>
      </c>
      <c r="AR37" s="2"/>
      <c r="AS37" s="2"/>
      <c r="AT37" s="2"/>
      <c r="AU37" s="2"/>
      <c r="AW37" s="2">
        <v>6</v>
      </c>
      <c r="AX37" s="2" t="s">
        <v>49</v>
      </c>
      <c r="AY37" s="16" t="str">
        <f t="shared" si="13"/>
        <v/>
      </c>
      <c r="AZ37" s="2"/>
      <c r="BA37" s="35"/>
      <c r="BB37" s="38">
        <v>6</v>
      </c>
      <c r="BC37" s="39" t="s">
        <v>49</v>
      </c>
      <c r="BD37" s="35" t="str">
        <f t="shared" si="14"/>
        <v/>
      </c>
      <c r="BE37" s="2" t="str">
        <f t="shared" si="15"/>
        <v/>
      </c>
      <c r="BF37" s="2"/>
      <c r="BG37" s="2"/>
      <c r="BH37" s="2"/>
      <c r="BK37" s="2">
        <v>7</v>
      </c>
      <c r="BL37" s="2" t="s">
        <v>50</v>
      </c>
      <c r="BM37" s="16" t="str">
        <f t="shared" si="16"/>
        <v/>
      </c>
      <c r="BN37" s="2"/>
      <c r="BO37" s="35"/>
      <c r="BP37" s="38">
        <v>7</v>
      </c>
      <c r="BQ37" s="39" t="s">
        <v>51</v>
      </c>
      <c r="BR37" s="35" t="str">
        <f t="shared" si="6"/>
        <v/>
      </c>
      <c r="BS37" s="2" t="str">
        <f t="shared" si="7"/>
        <v/>
      </c>
      <c r="BT37" s="2"/>
      <c r="BU37" s="2"/>
      <c r="BV37" s="2">
        <v>7</v>
      </c>
      <c r="BW37" s="2" t="s">
        <v>50</v>
      </c>
      <c r="BX37" s="16" t="str">
        <f t="shared" si="8"/>
        <v/>
      </c>
      <c r="BY37" s="2"/>
      <c r="BZ37" s="35"/>
      <c r="CA37" s="38">
        <v>7</v>
      </c>
      <c r="CB37" s="39" t="s">
        <v>51</v>
      </c>
      <c r="CC37" s="35" t="str">
        <f t="shared" si="9"/>
        <v/>
      </c>
      <c r="CD37" s="2" t="str">
        <f t="shared" si="10"/>
        <v/>
      </c>
      <c r="CE37" s="2"/>
      <c r="CF37" s="2"/>
      <c r="CG37" s="2"/>
    </row>
    <row r="38" spans="6:85" hidden="1">
      <c r="F38" s="2">
        <v>6</v>
      </c>
      <c r="G38" s="2" t="s">
        <v>49</v>
      </c>
      <c r="H38" s="16" t="str">
        <f t="shared" si="17"/>
        <v/>
      </c>
      <c r="I38" s="2"/>
      <c r="J38" s="35"/>
      <c r="K38" s="38">
        <v>6</v>
      </c>
      <c r="L38" s="39" t="s">
        <v>49</v>
      </c>
      <c r="M38" s="35" t="str">
        <f t="shared" si="18"/>
        <v/>
      </c>
      <c r="N38" s="2" t="str">
        <f t="shared" si="19"/>
        <v/>
      </c>
      <c r="O38" s="2"/>
      <c r="P38" s="2"/>
      <c r="Q38" s="2"/>
      <c r="R38" s="2"/>
      <c r="S38" s="2"/>
      <c r="U38" s="2">
        <v>6</v>
      </c>
      <c r="V38" s="2" t="s">
        <v>49</v>
      </c>
      <c r="W38" s="16" t="str">
        <f t="shared" si="20"/>
        <v/>
      </c>
      <c r="X38" s="2"/>
      <c r="Y38" s="35"/>
      <c r="Z38" s="38">
        <v>6</v>
      </c>
      <c r="AA38" s="39" t="s">
        <v>49</v>
      </c>
      <c r="AB38" s="35" t="str">
        <f t="shared" si="21"/>
        <v/>
      </c>
      <c r="AC38" s="2" t="str">
        <f t="shared" si="22"/>
        <v/>
      </c>
      <c r="AD38" s="2"/>
      <c r="AE38" s="2"/>
      <c r="AF38" s="2"/>
      <c r="AG38" s="2"/>
      <c r="AH38" s="2"/>
      <c r="AI38" s="2">
        <v>7</v>
      </c>
      <c r="AJ38" s="2" t="s">
        <v>50</v>
      </c>
      <c r="AK38" s="16" t="str">
        <f>IF((L$9=AJ38),AI38,"")</f>
        <v/>
      </c>
      <c r="AL38" s="2"/>
      <c r="AM38" s="35"/>
      <c r="AN38" s="38">
        <v>7</v>
      </c>
      <c r="AO38" s="39" t="s">
        <v>51</v>
      </c>
      <c r="AP38" s="35" t="str">
        <f t="shared" si="23"/>
        <v/>
      </c>
      <c r="AQ38" s="2" t="str">
        <f t="shared" si="12"/>
        <v/>
      </c>
      <c r="AR38" s="2"/>
      <c r="AS38" s="2"/>
      <c r="AT38" s="2"/>
      <c r="AU38" s="2"/>
      <c r="AW38" s="2">
        <v>7</v>
      </c>
      <c r="AX38" s="2" t="s">
        <v>50</v>
      </c>
      <c r="AY38" s="16" t="str">
        <f t="shared" si="13"/>
        <v/>
      </c>
      <c r="AZ38" s="2"/>
      <c r="BA38" s="35"/>
      <c r="BB38" s="38">
        <v>7</v>
      </c>
      <c r="BC38" s="39" t="s">
        <v>51</v>
      </c>
      <c r="BD38" s="35" t="str">
        <f t="shared" si="14"/>
        <v/>
      </c>
      <c r="BE38" s="2" t="str">
        <f t="shared" si="15"/>
        <v/>
      </c>
      <c r="BF38" s="2"/>
      <c r="BG38" s="2"/>
      <c r="BH38" s="2"/>
      <c r="BK38" s="2">
        <v>8</v>
      </c>
      <c r="BL38" s="2" t="s">
        <v>52</v>
      </c>
      <c r="BM38" s="16" t="str">
        <f t="shared" si="16"/>
        <v/>
      </c>
      <c r="BN38" s="2"/>
      <c r="BO38" s="35"/>
      <c r="BP38" s="38"/>
      <c r="BQ38" s="39"/>
      <c r="BR38" s="35"/>
      <c r="BS38" s="2"/>
      <c r="BT38" s="2"/>
      <c r="BU38" s="2"/>
      <c r="BV38" s="2">
        <v>8</v>
      </c>
      <c r="BW38" s="2" t="s">
        <v>52</v>
      </c>
      <c r="BX38" s="16" t="str">
        <f t="shared" si="8"/>
        <v/>
      </c>
      <c r="BY38" s="2"/>
      <c r="BZ38" s="35"/>
      <c r="CA38" s="38"/>
      <c r="CB38" s="39"/>
      <c r="CC38" s="35"/>
      <c r="CD38" s="2"/>
      <c r="CE38" s="2"/>
      <c r="CF38" s="2"/>
      <c r="CG38" s="2"/>
    </row>
    <row r="39" spans="6:85" hidden="1">
      <c r="F39" s="2">
        <v>7</v>
      </c>
      <c r="G39" s="2" t="s">
        <v>50</v>
      </c>
      <c r="H39" s="16" t="str">
        <f t="shared" si="17"/>
        <v/>
      </c>
      <c r="I39" s="2"/>
      <c r="J39" s="35"/>
      <c r="K39" s="38">
        <v>7</v>
      </c>
      <c r="L39" s="39" t="s">
        <v>51</v>
      </c>
      <c r="M39" s="35" t="str">
        <f t="shared" si="18"/>
        <v/>
      </c>
      <c r="N39" s="2" t="str">
        <f t="shared" si="19"/>
        <v/>
      </c>
      <c r="O39" s="2"/>
      <c r="P39" s="2"/>
      <c r="Q39" s="2"/>
      <c r="R39" s="2"/>
      <c r="S39" s="2"/>
      <c r="U39" s="2">
        <v>7</v>
      </c>
      <c r="V39" s="2" t="s">
        <v>50</v>
      </c>
      <c r="W39" s="16" t="str">
        <f t="shared" si="20"/>
        <v/>
      </c>
      <c r="X39" s="2"/>
      <c r="Y39" s="35"/>
      <c r="Z39" s="38">
        <v>7</v>
      </c>
      <c r="AA39" s="39" t="s">
        <v>51</v>
      </c>
      <c r="AB39" s="35" t="str">
        <f t="shared" si="21"/>
        <v/>
      </c>
      <c r="AC39" s="2" t="str">
        <f t="shared" si="22"/>
        <v/>
      </c>
      <c r="AD39" s="2"/>
      <c r="AE39" s="2"/>
      <c r="AF39" s="2"/>
      <c r="AG39" s="2"/>
      <c r="AH39" s="2"/>
      <c r="AI39" s="2">
        <v>8</v>
      </c>
      <c r="AJ39" s="2" t="s">
        <v>52</v>
      </c>
      <c r="AK39" s="16" t="str">
        <f t="shared" si="11"/>
        <v/>
      </c>
      <c r="AL39" s="2"/>
      <c r="AM39" s="35"/>
      <c r="AN39" s="38"/>
      <c r="AO39" s="39"/>
      <c r="AP39" s="35"/>
      <c r="AQ39" s="2"/>
      <c r="AR39" s="2"/>
      <c r="AS39" s="2"/>
      <c r="AT39" s="2"/>
      <c r="AU39" s="2"/>
      <c r="AW39" s="2">
        <v>8</v>
      </c>
      <c r="AX39" s="2" t="s">
        <v>52</v>
      </c>
      <c r="AY39" s="16" t="str">
        <f>IF((M$9=AX39),AW39,"")</f>
        <v/>
      </c>
      <c r="AZ39" s="2"/>
      <c r="BA39" s="35"/>
      <c r="BB39" s="38"/>
      <c r="BC39" s="39"/>
      <c r="BD39" s="35"/>
      <c r="BE39" s="2"/>
      <c r="BF39" s="2"/>
      <c r="BG39" s="2"/>
      <c r="BH39" s="2"/>
      <c r="BK39" s="2">
        <v>9</v>
      </c>
      <c r="BL39" s="2" t="s">
        <v>53</v>
      </c>
      <c r="BM39" s="16" t="str">
        <f t="shared" si="16"/>
        <v/>
      </c>
      <c r="BN39" s="2"/>
      <c r="BO39" s="35"/>
      <c r="BP39" s="35"/>
      <c r="BQ39" s="35"/>
      <c r="BR39" s="35"/>
      <c r="BS39" s="2"/>
      <c r="BT39" s="2"/>
      <c r="BU39" s="2"/>
      <c r="BV39" s="2">
        <v>9</v>
      </c>
      <c r="BW39" s="2" t="s">
        <v>53</v>
      </c>
      <c r="BX39" s="16" t="str">
        <f t="shared" si="8"/>
        <v/>
      </c>
      <c r="BY39" s="2"/>
      <c r="BZ39" s="35"/>
      <c r="CA39" s="35"/>
      <c r="CB39" s="35"/>
      <c r="CC39" s="35"/>
      <c r="CD39" s="2"/>
      <c r="CE39" s="2"/>
      <c r="CF39" s="2"/>
      <c r="CG39" s="2"/>
    </row>
    <row r="40" spans="6:85" hidden="1">
      <c r="F40" s="2">
        <v>8</v>
      </c>
      <c r="G40" s="2" t="s">
        <v>52</v>
      </c>
      <c r="H40" s="16" t="str">
        <f t="shared" si="17"/>
        <v/>
      </c>
      <c r="I40" s="2"/>
      <c r="J40" s="35"/>
      <c r="K40" s="38">
        <v>8</v>
      </c>
      <c r="L40" s="52" t="s">
        <v>11</v>
      </c>
      <c r="M40" s="35" t="str">
        <f t="shared" si="18"/>
        <v/>
      </c>
      <c r="N40" s="2"/>
      <c r="O40" s="2"/>
      <c r="P40" s="2"/>
      <c r="Q40" s="2"/>
      <c r="R40" s="2"/>
      <c r="S40" s="2"/>
      <c r="U40" s="2">
        <v>8</v>
      </c>
      <c r="V40" s="2" t="s">
        <v>52</v>
      </c>
      <c r="W40" s="16" t="str">
        <f t="shared" si="20"/>
        <v/>
      </c>
      <c r="X40" s="2"/>
      <c r="Y40" s="35"/>
      <c r="Z40" s="38">
        <v>8</v>
      </c>
      <c r="AA40" s="52" t="s">
        <v>11</v>
      </c>
      <c r="AB40" s="35">
        <f t="shared" si="21"/>
        <v>8</v>
      </c>
      <c r="AC40" s="2"/>
      <c r="AD40" s="2"/>
      <c r="AE40" s="2"/>
      <c r="AF40" s="2"/>
      <c r="AG40" s="2"/>
      <c r="AH40" s="2"/>
      <c r="AI40" s="2">
        <v>9</v>
      </c>
      <c r="AJ40" s="2" t="s">
        <v>53</v>
      </c>
      <c r="AK40" s="16" t="str">
        <f t="shared" si="11"/>
        <v/>
      </c>
      <c r="AL40" s="2"/>
      <c r="AM40" s="35"/>
      <c r="AN40" s="35"/>
      <c r="AO40" s="35"/>
      <c r="AP40" s="35"/>
      <c r="AQ40" s="2"/>
      <c r="AR40" s="2"/>
      <c r="AS40" s="2"/>
      <c r="AT40" s="2"/>
      <c r="AU40" s="2"/>
      <c r="AW40" s="2">
        <v>9</v>
      </c>
      <c r="AX40" s="2" t="s">
        <v>53</v>
      </c>
      <c r="AY40" s="16" t="str">
        <f t="shared" si="13"/>
        <v/>
      </c>
      <c r="AZ40" s="2"/>
      <c r="BA40" s="35"/>
      <c r="BB40" s="35"/>
      <c r="BC40" s="35"/>
      <c r="BD40" s="35"/>
      <c r="BE40" s="2"/>
      <c r="BF40" s="2"/>
      <c r="BG40" s="2"/>
      <c r="BH40" s="2"/>
      <c r="BK40" s="2"/>
      <c r="BL40" s="16"/>
      <c r="BM40" s="16"/>
      <c r="BN40" s="2"/>
      <c r="BO40" s="2"/>
      <c r="BP40" s="2"/>
      <c r="BQ40" s="2"/>
      <c r="BR40" s="2"/>
      <c r="BS40" s="2"/>
      <c r="BT40" s="2"/>
      <c r="BU40" s="2"/>
      <c r="BV40" s="2"/>
      <c r="BW40" s="16"/>
      <c r="BX40" s="16"/>
      <c r="BY40" s="2"/>
      <c r="BZ40" s="2"/>
      <c r="CA40" s="2"/>
      <c r="CB40" s="2"/>
      <c r="CC40" s="2"/>
      <c r="CD40" s="2"/>
      <c r="CE40" s="2"/>
      <c r="CF40" s="2"/>
      <c r="CG40" s="2"/>
    </row>
    <row r="41" spans="6:85" hidden="1">
      <c r="F41" s="2">
        <v>9</v>
      </c>
      <c r="G41" s="2" t="s">
        <v>53</v>
      </c>
      <c r="H41" s="16" t="str">
        <f t="shared" si="17"/>
        <v/>
      </c>
      <c r="I41" s="2"/>
      <c r="J41" s="35"/>
      <c r="K41" s="35"/>
      <c r="L41" s="35"/>
      <c r="M41" s="35"/>
      <c r="N41" s="2"/>
      <c r="O41" s="2"/>
      <c r="P41" s="2"/>
      <c r="Q41" s="2"/>
      <c r="R41" s="2"/>
      <c r="S41" s="2"/>
      <c r="U41" s="2">
        <v>9</v>
      </c>
      <c r="V41" s="2" t="s">
        <v>53</v>
      </c>
      <c r="W41" s="16" t="str">
        <f t="shared" si="20"/>
        <v/>
      </c>
      <c r="X41" s="2"/>
      <c r="Y41" s="35"/>
      <c r="Z41" s="35"/>
      <c r="AA41" s="35"/>
      <c r="AB41" s="35"/>
      <c r="AC41" s="2"/>
      <c r="AD41" s="2"/>
      <c r="AE41" s="2"/>
      <c r="AF41" s="2"/>
      <c r="AG41" s="2"/>
      <c r="AH41" s="2"/>
      <c r="AI41" s="2"/>
      <c r="AJ41" s="16"/>
      <c r="AK41" s="16"/>
      <c r="AL41" s="2"/>
      <c r="AM41" s="2"/>
      <c r="AN41" s="2"/>
      <c r="AO41" s="2"/>
      <c r="AP41" s="2"/>
      <c r="AQ41" s="2"/>
      <c r="AR41" s="2"/>
      <c r="AS41" s="2"/>
      <c r="AT41" s="2"/>
      <c r="AU41" s="2"/>
      <c r="AW41" s="2"/>
      <c r="AX41" s="16"/>
      <c r="AY41" s="16"/>
      <c r="AZ41" s="2"/>
      <c r="BA41" s="2"/>
      <c r="BB41" s="2"/>
      <c r="BC41" s="2"/>
      <c r="BD41" s="2"/>
      <c r="BE41" s="2"/>
      <c r="BF41" s="2"/>
      <c r="BG41" s="2"/>
      <c r="BH41" s="2"/>
      <c r="BK41" s="2"/>
      <c r="BL41" s="16"/>
      <c r="BM41" s="16"/>
      <c r="BN41" s="2"/>
      <c r="BO41" s="2"/>
      <c r="BP41" s="2"/>
      <c r="BQ41" s="2"/>
      <c r="BR41" s="2"/>
      <c r="BS41" s="2"/>
      <c r="BT41" s="2"/>
      <c r="BU41" s="2"/>
      <c r="BV41" s="2"/>
      <c r="BW41" s="16"/>
      <c r="BX41" s="16"/>
      <c r="BY41" s="2"/>
      <c r="BZ41" s="2"/>
      <c r="CA41" s="2"/>
      <c r="CB41" s="2"/>
      <c r="CC41" s="2"/>
      <c r="CD41" s="2"/>
      <c r="CE41" s="2"/>
      <c r="CF41" s="2"/>
      <c r="CG41" s="2"/>
    </row>
    <row r="42" spans="6:85" hidden="1">
      <c r="F42" s="2">
        <v>10</v>
      </c>
      <c r="G42" s="17" t="s">
        <v>11</v>
      </c>
      <c r="H42" s="16" t="str">
        <f t="shared" si="17"/>
        <v/>
      </c>
      <c r="I42" s="2"/>
      <c r="J42" s="2"/>
      <c r="K42" s="2"/>
      <c r="L42" s="2"/>
      <c r="M42" s="2"/>
      <c r="N42" s="2"/>
      <c r="O42" s="2"/>
      <c r="P42" s="2"/>
      <c r="Q42" s="2"/>
      <c r="R42" s="2"/>
      <c r="S42" s="2"/>
      <c r="U42" s="2">
        <v>10</v>
      </c>
      <c r="V42" s="17" t="s">
        <v>11</v>
      </c>
      <c r="W42" s="16">
        <f t="shared" si="20"/>
        <v>10</v>
      </c>
      <c r="X42" s="2"/>
      <c r="Y42" s="2"/>
      <c r="Z42" s="2"/>
      <c r="AA42" s="2"/>
      <c r="AB42" s="2"/>
      <c r="AC42" s="2"/>
      <c r="AD42" s="2"/>
      <c r="AE42" s="2"/>
      <c r="AF42" s="2"/>
      <c r="AG42" s="2"/>
      <c r="AH42" s="2"/>
      <c r="AI42" s="2"/>
      <c r="AJ42" s="2"/>
      <c r="AK42" s="2"/>
      <c r="AL42" s="2"/>
      <c r="AM42" s="2"/>
      <c r="AN42" s="2"/>
      <c r="AO42" s="2"/>
      <c r="AP42" s="2"/>
      <c r="AQ42" s="2"/>
      <c r="AR42" s="2"/>
      <c r="AS42" s="2"/>
      <c r="AT42" s="2"/>
      <c r="AU42" s="2"/>
      <c r="AW42" s="2"/>
      <c r="AX42" s="2"/>
      <c r="AY42" s="2"/>
      <c r="AZ42" s="2"/>
      <c r="BA42" s="2"/>
      <c r="BB42" s="2"/>
      <c r="BC42" s="2"/>
      <c r="BD42" s="2"/>
      <c r="BE42" s="2"/>
      <c r="BF42" s="2"/>
      <c r="BG42" s="2"/>
      <c r="BH42" s="2"/>
      <c r="BK42" s="2"/>
      <c r="BL42" s="2"/>
      <c r="BM42" s="2"/>
      <c r="BN42" s="2"/>
      <c r="BO42" s="2"/>
      <c r="BP42" s="2"/>
      <c r="BQ42" s="2"/>
      <c r="BR42" s="2"/>
      <c r="BS42" s="2"/>
      <c r="BT42" s="2"/>
      <c r="BU42" s="2"/>
      <c r="BV42" s="2"/>
      <c r="BW42" s="2"/>
      <c r="BX42" s="2"/>
      <c r="BY42" s="2"/>
      <c r="BZ42" s="2"/>
      <c r="CA42" s="2"/>
      <c r="CB42" s="2"/>
      <c r="CC42" s="2"/>
      <c r="CD42" s="2"/>
      <c r="CE42" s="2"/>
      <c r="CF42" s="2"/>
      <c r="CG42" s="2"/>
    </row>
    <row r="43" spans="6:85" hidden="1">
      <c r="F43" s="2"/>
      <c r="G43" s="2"/>
      <c r="H43" s="2"/>
      <c r="I43" s="2"/>
      <c r="J43" s="2"/>
      <c r="K43" s="2"/>
      <c r="L43" s="2"/>
      <c r="M43" s="2"/>
      <c r="N43" s="2"/>
      <c r="O43" s="2"/>
      <c r="P43" s="2"/>
      <c r="Q43" s="2"/>
      <c r="R43" s="2"/>
      <c r="S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W43" s="2"/>
      <c r="AX43" s="2"/>
      <c r="AY43" s="2"/>
      <c r="AZ43" s="2"/>
      <c r="BA43" s="2"/>
      <c r="BB43" s="2"/>
      <c r="BC43" s="2"/>
      <c r="BD43" s="2"/>
      <c r="BE43" s="2"/>
      <c r="BF43" s="2"/>
      <c r="BG43" s="2"/>
      <c r="BH43" s="2"/>
      <c r="BK43" s="2"/>
      <c r="BL43" s="2"/>
      <c r="BM43" s="2"/>
      <c r="BN43" s="2"/>
      <c r="BO43" s="2"/>
      <c r="BP43" s="2"/>
      <c r="BQ43" s="2"/>
      <c r="BR43" s="2"/>
      <c r="BS43" s="2"/>
      <c r="BT43" s="2"/>
      <c r="BU43" s="2"/>
      <c r="BV43" s="2"/>
      <c r="BW43" s="2"/>
      <c r="BX43" s="2"/>
      <c r="BY43" s="2"/>
      <c r="BZ43" s="2"/>
      <c r="CA43" s="2"/>
      <c r="CB43" s="2"/>
      <c r="CC43" s="2"/>
      <c r="CD43" s="2"/>
      <c r="CE43" s="2"/>
      <c r="CF43" s="2"/>
      <c r="CG43" s="2"/>
    </row>
    <row r="44" spans="6:85" hidden="1">
      <c r="F44" s="2"/>
      <c r="G44" s="2"/>
      <c r="H44" s="2"/>
      <c r="I44" s="2"/>
      <c r="J44" s="2"/>
      <c r="K44" s="2"/>
      <c r="L44" s="2"/>
      <c r="M44" s="2"/>
      <c r="N44" s="2"/>
      <c r="O44" s="2"/>
      <c r="P44" s="2"/>
      <c r="Q44" s="2"/>
      <c r="R44" s="2"/>
      <c r="S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W44" s="2"/>
      <c r="AX44" s="2"/>
      <c r="AY44" s="2"/>
      <c r="AZ44" s="2"/>
      <c r="BA44" s="2"/>
      <c r="BB44" s="2"/>
      <c r="BC44" s="2"/>
      <c r="BD44" s="2"/>
      <c r="BE44" s="2"/>
      <c r="BF44" s="2"/>
      <c r="BG44" s="2"/>
      <c r="BH44" s="2"/>
      <c r="BK44" s="2"/>
      <c r="BL44" s="2"/>
      <c r="BM44" s="2"/>
      <c r="BN44" s="2"/>
      <c r="BO44" s="2"/>
      <c r="BP44" s="2"/>
      <c r="BQ44" s="2"/>
      <c r="BR44" s="2"/>
      <c r="BS44" s="2"/>
      <c r="BT44" s="2"/>
      <c r="BU44" s="2"/>
      <c r="BV44" s="2"/>
      <c r="BW44" s="2"/>
      <c r="BX44" s="2"/>
      <c r="BY44" s="2"/>
      <c r="BZ44" s="2"/>
      <c r="CA44" s="2"/>
      <c r="CB44" s="2"/>
      <c r="CC44" s="2"/>
      <c r="CD44" s="2"/>
      <c r="CE44" s="2"/>
      <c r="CF44" s="2"/>
      <c r="CG44" s="2"/>
    </row>
    <row r="45" spans="6:85" hidden="1">
      <c r="F45" s="2"/>
      <c r="G45" s="12"/>
      <c r="H45" s="2" t="s">
        <v>54</v>
      </c>
      <c r="I45" s="2"/>
      <c r="J45" s="2"/>
      <c r="K45" s="60" t="s">
        <v>55</v>
      </c>
      <c r="L45" s="2"/>
      <c r="M45" s="2"/>
      <c r="N45" s="2"/>
      <c r="O45" s="2"/>
      <c r="P45" s="2"/>
      <c r="Q45" s="2"/>
      <c r="R45" s="2"/>
      <c r="S45" s="2"/>
      <c r="U45" s="2"/>
      <c r="V45" s="12"/>
      <c r="W45" s="2" t="s">
        <v>54</v>
      </c>
      <c r="X45" s="2"/>
      <c r="Y45" s="2"/>
      <c r="Z45" s="2"/>
      <c r="AA45" s="2"/>
      <c r="AB45" s="2"/>
      <c r="AC45" s="2"/>
      <c r="AD45" s="2"/>
      <c r="AE45" s="2"/>
      <c r="AF45" s="2"/>
      <c r="AG45" s="2"/>
      <c r="AH45" s="2"/>
      <c r="AI45" s="2"/>
      <c r="AJ45" s="12"/>
      <c r="AK45" s="2" t="s">
        <v>54</v>
      </c>
      <c r="AL45" s="2"/>
      <c r="AM45" s="2"/>
      <c r="AN45" s="2"/>
      <c r="AO45" s="2"/>
      <c r="AP45" s="2"/>
      <c r="AQ45" s="2"/>
      <c r="AR45" s="2"/>
      <c r="AS45" s="2"/>
      <c r="AT45" s="2"/>
      <c r="AU45" s="2"/>
      <c r="AW45" s="2"/>
      <c r="AX45" s="12"/>
      <c r="AY45" s="2" t="s">
        <v>54</v>
      </c>
      <c r="AZ45" s="2"/>
      <c r="BA45" s="2"/>
      <c r="BB45" s="2"/>
      <c r="BC45" s="2"/>
      <c r="BD45" s="2"/>
      <c r="BE45" s="2"/>
      <c r="BF45" s="2"/>
      <c r="BG45" s="2"/>
      <c r="BH45" s="2"/>
      <c r="BK45" s="2"/>
      <c r="BL45" s="12"/>
      <c r="BM45" s="2" t="s">
        <v>54</v>
      </c>
      <c r="BN45" s="2"/>
      <c r="BO45" s="2"/>
      <c r="BP45" s="2"/>
      <c r="BQ45" s="2"/>
      <c r="BR45" s="2"/>
      <c r="BS45" s="2"/>
      <c r="BT45" s="2"/>
      <c r="BU45" s="2"/>
      <c r="BV45" s="2"/>
      <c r="BW45" s="12"/>
      <c r="BX45" s="2" t="s">
        <v>54</v>
      </c>
      <c r="BY45" s="2"/>
      <c r="BZ45" s="2"/>
      <c r="CA45" s="2"/>
      <c r="CB45" s="2"/>
      <c r="CC45" s="2"/>
      <c r="CD45" s="2"/>
      <c r="CE45" s="2"/>
      <c r="CF45" s="2"/>
      <c r="CG45" s="2"/>
    </row>
    <row r="46" spans="6:85" hidden="1">
      <c r="F46" s="2"/>
      <c r="G46" s="12" t="s">
        <v>56</v>
      </c>
      <c r="H46" s="12" t="s">
        <v>57</v>
      </c>
      <c r="I46" s="2" t="s">
        <v>58</v>
      </c>
      <c r="J46" s="2" t="s">
        <v>58</v>
      </c>
      <c r="K46" s="12" t="s">
        <v>59</v>
      </c>
      <c r="L46" s="2" t="s">
        <v>60</v>
      </c>
      <c r="M46" s="2" t="s">
        <v>61</v>
      </c>
      <c r="N46" s="2" t="s">
        <v>62</v>
      </c>
      <c r="O46" s="2"/>
      <c r="P46" s="2"/>
      <c r="Q46" s="2"/>
      <c r="R46" s="2"/>
      <c r="S46" s="2"/>
      <c r="U46" s="2"/>
      <c r="V46" s="12" t="s">
        <v>56</v>
      </c>
      <c r="W46" s="12" t="s">
        <v>57</v>
      </c>
      <c r="X46" s="2" t="s">
        <v>58</v>
      </c>
      <c r="Y46" s="2" t="s">
        <v>58</v>
      </c>
      <c r="Z46" s="12" t="s">
        <v>59</v>
      </c>
      <c r="AA46" s="2" t="s">
        <v>60</v>
      </c>
      <c r="AB46" s="2" t="s">
        <v>61</v>
      </c>
      <c r="AC46" s="2" t="s">
        <v>62</v>
      </c>
      <c r="AD46" s="2"/>
      <c r="AE46" s="2"/>
      <c r="AF46" s="2"/>
      <c r="AG46" s="2"/>
      <c r="AH46" s="2"/>
      <c r="AI46" s="2"/>
      <c r="AJ46" s="12" t="s">
        <v>56</v>
      </c>
      <c r="AK46" s="12" t="s">
        <v>57</v>
      </c>
      <c r="AL46" s="2" t="s">
        <v>58</v>
      </c>
      <c r="AM46" s="2" t="s">
        <v>58</v>
      </c>
      <c r="AN46" s="12" t="s">
        <v>59</v>
      </c>
      <c r="AO46" s="2" t="s">
        <v>60</v>
      </c>
      <c r="AP46" s="2" t="s">
        <v>61</v>
      </c>
      <c r="AQ46" s="2" t="s">
        <v>62</v>
      </c>
      <c r="AR46" s="2"/>
      <c r="AS46" s="2"/>
      <c r="AT46" s="2"/>
      <c r="AU46" s="2"/>
      <c r="AW46" s="2"/>
      <c r="AX46" s="12" t="s">
        <v>56</v>
      </c>
      <c r="AY46" s="12" t="s">
        <v>57</v>
      </c>
      <c r="AZ46" s="2" t="s">
        <v>58</v>
      </c>
      <c r="BA46" s="2" t="s">
        <v>58</v>
      </c>
      <c r="BB46" s="12" t="s">
        <v>59</v>
      </c>
      <c r="BC46" s="2" t="s">
        <v>60</v>
      </c>
      <c r="BD46" s="2" t="s">
        <v>61</v>
      </c>
      <c r="BE46" s="2" t="s">
        <v>62</v>
      </c>
      <c r="BF46" s="2"/>
      <c r="BG46" s="2"/>
      <c r="BH46" s="2"/>
      <c r="BK46" s="2"/>
      <c r="BL46" s="12" t="s">
        <v>56</v>
      </c>
      <c r="BM46" s="12" t="s">
        <v>57</v>
      </c>
      <c r="BN46" s="2" t="s">
        <v>58</v>
      </c>
      <c r="BO46" s="2" t="s">
        <v>58</v>
      </c>
      <c r="BP46" s="12" t="s">
        <v>59</v>
      </c>
      <c r="BQ46" s="2" t="s">
        <v>60</v>
      </c>
      <c r="BR46" s="2" t="s">
        <v>61</v>
      </c>
      <c r="BS46" s="2" t="s">
        <v>62</v>
      </c>
      <c r="BT46" s="2"/>
      <c r="BU46" s="2"/>
      <c r="BV46" s="2"/>
      <c r="BW46" s="12" t="s">
        <v>56</v>
      </c>
      <c r="BX46" s="12" t="s">
        <v>57</v>
      </c>
      <c r="BY46" s="2" t="s">
        <v>58</v>
      </c>
      <c r="BZ46" s="2" t="s">
        <v>58</v>
      </c>
      <c r="CA46" s="12" t="s">
        <v>59</v>
      </c>
      <c r="CB46" s="2" t="s">
        <v>60</v>
      </c>
      <c r="CC46" s="2" t="s">
        <v>61</v>
      </c>
      <c r="CD46" s="2" t="s">
        <v>62</v>
      </c>
      <c r="CE46" s="2"/>
      <c r="CF46" s="2"/>
      <c r="CG46" s="2"/>
    </row>
    <row r="47" spans="6:85" hidden="1">
      <c r="F47" s="2">
        <v>1</v>
      </c>
      <c r="G47" s="3" t="s">
        <v>16</v>
      </c>
      <c r="H47" s="40">
        <f>IF(I33=2,0.0922,IF(I33=3,0.1043,IF(I33=4,0.0342,IF(I33=5,0.0341,IF(I33=6,0.0123,IF(I33=7,0.0123,IF(I33=8,0.0123,IF(I33=9,0.0123,IF(I33=1,0.03533,"")))))))))</f>
        <v>3.533E-2</v>
      </c>
      <c r="I47" s="3">
        <f>IF((J$8=G47),F47,"")</f>
        <v>1</v>
      </c>
      <c r="J47" s="3">
        <f>IFERROR(SMALL(I$47:I$52,F47),"")</f>
        <v>1</v>
      </c>
      <c r="K47" s="58">
        <f>IF(I33=1, 64.25, IF(I33=2, 69.333, IF(I33=3, 69.333, IF(I33=4, 69.333, IF(I33=5, 64.25, IF(I33=6,64.25, IF(I33=7,64.25, IF(I33=8, 64.25, IF(I33=9, 64.25,"")))))))))</f>
        <v>64.25</v>
      </c>
      <c r="L47" s="3">
        <f>IF(J$47=F47,J$10*H47*9320)</f>
        <v>128503095.656</v>
      </c>
      <c r="M47" s="3">
        <f>IF(J$47=F47,J$11*H47*9320)</f>
        <v>125124728</v>
      </c>
      <c r="N47" s="56">
        <f>(((L47-M47)/1000)*0.000001)*J6</f>
        <v>3.3783676560000028E-3</v>
      </c>
      <c r="O47" s="2" t="s">
        <v>63</v>
      </c>
      <c r="P47" s="2"/>
      <c r="Q47" s="2"/>
      <c r="R47" s="2"/>
      <c r="S47" s="2"/>
      <c r="U47" s="2">
        <v>1</v>
      </c>
      <c r="V47" s="3" t="s">
        <v>16</v>
      </c>
      <c r="W47" s="40" t="str">
        <f>IF(X33=2,0.0922,IF(X33=3,0.1043,IF(X33=4,0.0342,IF(X33=5,0.0341,IF(X33=6,0.0123,IF(X33=7,0.0123,IF(X33=8,0.0123,IF(X33=9,0.0123,IF(X33=1,0.03533,"")))))))))</f>
        <v/>
      </c>
      <c r="X47" s="3" t="str">
        <f>IF((K$8=V47),U47,"")</f>
        <v/>
      </c>
      <c r="Y47" s="3" t="str">
        <f>IFERROR(SMALL(X$47:X$52,U47),"")</f>
        <v/>
      </c>
      <c r="Z47" s="58" t="str">
        <f>IF(X33=1, 64.25, IF(X33=2, 69.333, IF(X33=3, 69.333, IF(X33=4, 69.333, IF(X33=5, 64.25, IF(X33=6,64.25, IF(X33=7,64.25, IF(X33=8, 64.25, IF(X33=9, 64.25,"")))))))))</f>
        <v/>
      </c>
      <c r="AA47" s="3" t="b">
        <f>IF(Y$47=U47,K$10*W47*9320)</f>
        <v>0</v>
      </c>
      <c r="AB47" s="3" t="b">
        <f>IF(Y$47=U47,K$11*W47*9320)</f>
        <v>0</v>
      </c>
      <c r="AC47" s="56">
        <f>(((AA47-AB47)/1000)*0.000001)*K6</f>
        <v>0</v>
      </c>
      <c r="AD47" s="2" t="s">
        <v>63</v>
      </c>
      <c r="AE47" s="2"/>
      <c r="AF47" s="2"/>
      <c r="AG47" s="2"/>
      <c r="AH47" s="2"/>
      <c r="AI47" s="2">
        <v>1</v>
      </c>
      <c r="AJ47" s="3" t="s">
        <v>16</v>
      </c>
      <c r="AK47" s="40" t="str">
        <f>IF(AL32=2,0.0922,IF(AL32=3,0.1043,IF(AL32=4,0.0342,IF(AL32=5,0.0341,IF(AL32=6,0.0123,IF(AL32=7,0.0123,IF(AL32=8,0.0123,IF(AL32=9,0.0123,IF(AL32=1,0.03533,"")))))))))</f>
        <v/>
      </c>
      <c r="AL47" s="3" t="str">
        <f>IF((L$8=AJ47),AI47,"")</f>
        <v/>
      </c>
      <c r="AM47" s="3" t="str">
        <f>IFERROR(SMALL(AL$47:AL$52,AI47),"")</f>
        <v/>
      </c>
      <c r="AN47" s="58" t="str">
        <f>IF(AL32=1, 64.25, IF(AL32=2, 69.333, IF(AL32=3, 69.333, IF(AL32=4, 69.333, IF(AL32=5, 64.25, IF(AL32=6,64.25, IF(AL32=7,64.25, IF(AL32=8, 64.25, IF(AL32=9, 64.25,"")))))))))</f>
        <v/>
      </c>
      <c r="AO47" s="3" t="b">
        <f>IF(AM$47=AI47,L$10*AK47*9320)</f>
        <v>0</v>
      </c>
      <c r="AP47" s="3" t="b">
        <f>IF(AM$47=AI47,L$11*AK47*9320)</f>
        <v>0</v>
      </c>
      <c r="AQ47" s="3">
        <f>(((AO47-AP47)/1000)*0.000001)*L6</f>
        <v>0</v>
      </c>
      <c r="AR47" s="2" t="s">
        <v>63</v>
      </c>
      <c r="AS47" s="2"/>
      <c r="AT47" s="2"/>
      <c r="AU47" s="2"/>
      <c r="AW47" s="2">
        <v>1</v>
      </c>
      <c r="AX47" s="3" t="s">
        <v>16</v>
      </c>
      <c r="AY47" s="40" t="str">
        <f>IF(AZ32=2,0.0922,IF(AZ32=3,0.1043,IF(AZ32=4,0.0342,IF(AZ32=5,0.0341,IF(AZ32=6,0.0123,IF(AZ32=7,0.0123,IF(AZ32=8,0.0123,IF(AZ32=9,0.0123,IF(AZ32=1,0.03533,"")))))))))</f>
        <v/>
      </c>
      <c r="AZ47" s="3" t="str">
        <f>IF((M$8=AX47),AW47,"")</f>
        <v/>
      </c>
      <c r="BA47" s="3" t="str">
        <f>IFERROR(SMALL(AZ$47:AZ$52,AW47),"")</f>
        <v/>
      </c>
      <c r="BB47" s="58" t="str">
        <f>IF(AZ32=1, 64.25, IF(AZ32=2, 69.333, IF(AZ32=3, 69.333, IF(AZ32=4, 69.333, IF(AZ32=5, 64.25, IF(AZ32=6,64.25, IF(AZ32=7,64.25, IF(AZ32=8, 64.25, IF(AZ32=9, 64.25,"")))))))))</f>
        <v/>
      </c>
      <c r="BC47" s="54" t="b">
        <f>IF(BA$47=AW47,M$10*AY47*9320)</f>
        <v>0</v>
      </c>
      <c r="BD47" s="3" t="b">
        <f>IF(BA$47=AW47,M$11*AY47*9320)</f>
        <v>0</v>
      </c>
      <c r="BE47" s="3">
        <f>(((BC47-BD47)/1000)*0.000001)*M6</f>
        <v>0</v>
      </c>
      <c r="BF47" s="2" t="s">
        <v>63</v>
      </c>
      <c r="BG47" s="2"/>
      <c r="BH47" s="2"/>
      <c r="BK47" s="2">
        <v>1</v>
      </c>
      <c r="BL47" s="3" t="s">
        <v>16</v>
      </c>
      <c r="BM47" s="40" t="str">
        <f>IF(BN31=2,0.0922,IF(BN31=3,0.1043,IF(BN31=4,0.0342,IF(BN31=5,0.0341,IF(BN31=6,0.0123,IF(BN31=7,0.0123,IF(BN31=8,0.0123,IF(BN31=9,0.0123,IF(BN31=1,0.03533,"")))))))))</f>
        <v/>
      </c>
      <c r="BN47" s="3" t="str">
        <f>IF((N$8=BL47),BK47,"")</f>
        <v/>
      </c>
      <c r="BO47" s="3" t="str">
        <f>IFERROR(SMALL(BN$47:BN$52,BK47),"")</f>
        <v/>
      </c>
      <c r="BP47" s="58" t="str">
        <f>IF(BN31=1, 64.25, IF(BN31=2, 69.333, IF(BN31=3, 69.333, IF(BN31=4, 69.333, IF(BN31=5, 64.25, IF(BN31=6,64.25, IF(BN31=7,64.25, IF(BN31=8, 64.25, IF(BN31=9, 64.25,"")))))))))</f>
        <v/>
      </c>
      <c r="BQ47" s="54" t="b">
        <f>IF(BO$47=BK47,N$10*BM47*9320)</f>
        <v>0</v>
      </c>
      <c r="BR47" s="3" t="b">
        <f>IF(BO$47=BK47,N$11*BM47*9320)</f>
        <v>0</v>
      </c>
      <c r="BS47" s="3">
        <f>(((BQ47-BR47)/1000)*0.000001)*N6</f>
        <v>0</v>
      </c>
      <c r="BT47" s="2" t="s">
        <v>63</v>
      </c>
      <c r="BU47" s="2"/>
      <c r="BV47" s="2">
        <v>1</v>
      </c>
      <c r="BW47" s="3" t="s">
        <v>16</v>
      </c>
      <c r="BX47" s="40" t="str">
        <f>IF(BY31=2,0.0922,IF(BY31=3,0.1043,IF(BY31=4,0.0342,IF(BY31=5,0.0341,IF(BY31=6,0.0123,IF(BY31=7,0.0123,IF(BY31=8,0.0123,IF(BY31=9,0.0123,IF(BY31=1,0.03533,"")))))))))</f>
        <v/>
      </c>
      <c r="BY47" s="3" t="str">
        <f>IF((O$8=BW47),BV47,"")</f>
        <v/>
      </c>
      <c r="BZ47" s="3" t="str">
        <f>IFERROR(SMALL(BY$47:BY$52,BV47),"")</f>
        <v/>
      </c>
      <c r="CA47" s="58" t="str">
        <f>IF(BY31=1, 64.25, IF(BY31=2, 69.333, IF(BY31=3, 69.333, IF(BY31=4, 69.333, IF(BY31=5, 64.25, IF(BY31=6,64.25, IF(BY31=7,64.25, IF(BY31=8, 64.25, IF(BY31=9, 64.25,"")))))))))</f>
        <v/>
      </c>
      <c r="CB47" s="54" t="b">
        <f>IF(BZ$47=BV47,O$10*BX47*9320)</f>
        <v>0</v>
      </c>
      <c r="CC47" s="3" t="b">
        <f>IF(BZ$47=BV47,O$11*BX47*9320)</f>
        <v>0</v>
      </c>
      <c r="CD47" s="3">
        <f>(((CB47-CC47)/1000)*0.000001)*O6</f>
        <v>0</v>
      </c>
      <c r="CE47" s="2" t="s">
        <v>63</v>
      </c>
      <c r="CF47" s="2"/>
      <c r="CG47" s="2"/>
    </row>
    <row r="48" spans="6:85" hidden="1">
      <c r="F48" s="2">
        <v>2</v>
      </c>
      <c r="G48" s="3" t="s">
        <v>64</v>
      </c>
      <c r="H48" s="3">
        <f>IF(I33=2,0.001,IF(I33=3,0.001,IF(I33=4,0.001,IF(I33=5,0.001,IF(I33=6,0.0019,IF(I33=7,0.0019,IF(I33=8,0.0019,IF(I33=9,0.0019,IF(I33=1,0.00151,"")))))))))</f>
        <v>1.5100000000000001E-3</v>
      </c>
      <c r="I48" s="3" t="str">
        <f>IF((J$8=G48),F48,"")</f>
        <v/>
      </c>
      <c r="J48" s="3" t="str">
        <f>IFERROR(SMALL(I$47:I$52,F48),"")</f>
        <v/>
      </c>
      <c r="K48" s="58">
        <f>IF(I33=1, 55.333, IF(I33=2, 64, IF(I33=3, 64, IF(I33=4, 64, IF(I33=5, 55.333, IF(I33=6,55.333, IF(I33=7,55.333, IF(I33=8, 55.333, IF(I33=9, 55.333,"")))))))))</f>
        <v>55.332999999999998</v>
      </c>
      <c r="L48" s="3" t="b">
        <f>IF(J$47=F48,J$10*H48*13309)</f>
        <v>0</v>
      </c>
      <c r="M48" s="3" t="b">
        <f>IF(J$47=F48,J$11*H48*13309)</f>
        <v>0</v>
      </c>
      <c r="N48" s="56">
        <f>(((L48-M48)/1000)*0.000001)*J6</f>
        <v>0</v>
      </c>
      <c r="O48" s="2" t="s">
        <v>63</v>
      </c>
      <c r="P48" s="2"/>
      <c r="Q48" s="2"/>
      <c r="R48" s="2"/>
      <c r="S48" s="2"/>
      <c r="U48" s="2">
        <v>2</v>
      </c>
      <c r="V48" s="3" t="s">
        <v>64</v>
      </c>
      <c r="W48" s="3" t="str">
        <f>IF(X33=2,0.001,IF(X33=3,0.001,IF(X33=4,0.001,IF(X33=5,0.001,IF(X33=6,0.0019,IF(X33=7,0.0019,IF(X33=8,0.0019,IF(X33=9,0.0019,IF(X33=1,0.00151,"")))))))))</f>
        <v/>
      </c>
      <c r="X48" s="3" t="str">
        <f>IF((K$8=V48),U48,"")</f>
        <v/>
      </c>
      <c r="Y48" s="3" t="str">
        <f>IFERROR(SMALL(X$47:X$52,U48),"")</f>
        <v/>
      </c>
      <c r="Z48" s="58" t="str">
        <f>IF(X33=1, 55.333, IF(X33=2, 64, IF(X33=3, 64, IF(X33=4, 64, IF(X33=5, 55.333, IF(X33=6,55.333, IF(X33=7,55.333, IF(X33=8, 55.333, IF(X33=9, 55.333,"")))))))))</f>
        <v/>
      </c>
      <c r="AA48" s="3" t="b">
        <f>IF(Y$47=U48,K$10*W48*13309)</f>
        <v>0</v>
      </c>
      <c r="AB48" s="3" t="b">
        <f>IF(Y$47=U48,K$11*W48*13309)</f>
        <v>0</v>
      </c>
      <c r="AC48" s="56">
        <f>(((AA48-AB48)/1000)*0.000001)*K6</f>
        <v>0</v>
      </c>
      <c r="AD48" s="2" t="s">
        <v>63</v>
      </c>
      <c r="AE48" s="2"/>
      <c r="AF48" s="2"/>
      <c r="AG48" s="2"/>
      <c r="AH48" s="2"/>
      <c r="AI48" s="2">
        <v>2</v>
      </c>
      <c r="AJ48" s="3" t="s">
        <v>64</v>
      </c>
      <c r="AK48" s="3" t="str">
        <f>IF(AL32=2,0.001,IF(AL32=3,0.001,IF(AL32=4,0.001,IF(AL32=5,0.001,IF(AL32=6,0.0019,IF(AL32=7,0.0019,IF(AL32=8,0.0019,IF(AL32=9,0.0019,IF(AL32=1,0.00151,"")))))))))</f>
        <v/>
      </c>
      <c r="AL48" s="3" t="str">
        <f>IF((L$8=AJ48),AI48,"")</f>
        <v/>
      </c>
      <c r="AM48" s="3" t="str">
        <f>IFERROR(SMALL(AL$47:AL$52,AI48),"")</f>
        <v/>
      </c>
      <c r="AN48" s="58" t="str">
        <f>IF(AL32=1, 55.333, IF(AL32=2, 64, IF(AL32=3, 64, IF(AL32=4, 64, IF(AL32=5, 55.333, IF(AL32=6,55.333, IF(AL32=7,55.333, IF(AL32=8, 55.333, IF(AL32=9, 55.333,"")))))))))</f>
        <v/>
      </c>
      <c r="AO48" s="3" t="b">
        <f>IF(AM$47=AI48,L$10*AK48*13309)</f>
        <v>0</v>
      </c>
      <c r="AP48" s="3" t="b">
        <f>IF(AM$47=AI48,L$11*AK48*13309)</f>
        <v>0</v>
      </c>
      <c r="AQ48" s="3">
        <f>(((AO48-AP48)/1000)*0.000001)*L6</f>
        <v>0</v>
      </c>
      <c r="AR48" s="2" t="s">
        <v>63</v>
      </c>
      <c r="AS48" s="2"/>
      <c r="AT48" s="2"/>
      <c r="AU48" s="2"/>
      <c r="AW48" s="2">
        <v>2</v>
      </c>
      <c r="AX48" s="3" t="s">
        <v>64</v>
      </c>
      <c r="AY48" s="3" t="str">
        <f>IF(AZ32=2,0.001,IF(AZ32=3,0.001,IF(AZ32=4,0.001,IF(AZ32=5,0.001,IF(AZ32=6,0.0019,IF(AZ32=7,0.0019,IF(AZ32=8,0.0019,IF(AZ32=9,0.0019,IF(AZ32=1,0.00151,"")))))))))</f>
        <v/>
      </c>
      <c r="AZ48" s="3" t="str">
        <f>IF((M$8=AX48),AW48,"")</f>
        <v/>
      </c>
      <c r="BA48" s="3" t="str">
        <f>IFERROR(SMALL(AZ$47:AZ$52,AW48),"")</f>
        <v/>
      </c>
      <c r="BB48" s="58" t="str">
        <f>IF(AZ32=1, 55.333, IF(AZ32=2, 64, IF(AZ32=3, 64, IF(AZ32=4, 64, IF(AZ32=5, 55.333, IF(AZ32=6,55.333, IF(AZ32=7,55.333, IF(AZ32=8, 55.333, IF(AZ32=9, 55.333,"")))))))))</f>
        <v/>
      </c>
      <c r="BC48" s="3" t="b">
        <f>IF(BA$47=AW48,M$10*AY48*13309)</f>
        <v>0</v>
      </c>
      <c r="BD48" s="3" t="b">
        <f>IF(BA$47=AW48,M$11*AY48*13309)</f>
        <v>0</v>
      </c>
      <c r="BE48" s="3">
        <f>(((BC48-BD48)/1000)*0.000001)*M6</f>
        <v>0</v>
      </c>
      <c r="BF48" s="2" t="s">
        <v>63</v>
      </c>
      <c r="BG48" s="2"/>
      <c r="BH48" s="2"/>
      <c r="BK48" s="2">
        <v>2</v>
      </c>
      <c r="BL48" s="3" t="s">
        <v>64</v>
      </c>
      <c r="BM48" s="3" t="str">
        <f>IF(BN31=2,0.001,IF(BN31=3,0.001,IF(BN31=4,0.001,IF(BN31=5,0.001,IF(BN31=6,0.0019,IF(BN31=7,0.0019,IF(BN31=8,0.0019,IF(BN31=9,0.0019,IF(BN31=1,0.00151,"")))))))))</f>
        <v/>
      </c>
      <c r="BN48" s="3" t="str">
        <f>IF((N$8=BL48),BK48,"")</f>
        <v/>
      </c>
      <c r="BO48" s="3" t="str">
        <f>IFERROR(SMALL(BN$47:BN$52,BK48),"")</f>
        <v/>
      </c>
      <c r="BP48" s="58" t="str">
        <f>IF(BN31=1, 55.333, IF(BN31=2, 64, IF(BN31=3, 64, IF(BN31=4, 64, IF(BN31=5, 55.333, IF(BN31=6,55.333, IF(BN31=7,55.333, IF(BN31=8, 55.333, IF(BN31=9, 55.333,"")))))))))</f>
        <v/>
      </c>
      <c r="BQ48" s="3" t="b">
        <f>IF(BO$47=BK48,N$10*BM48*13309)</f>
        <v>0</v>
      </c>
      <c r="BR48" s="3" t="b">
        <f>IF(BO$47=BK48,N$11*BM48*13309)</f>
        <v>0</v>
      </c>
      <c r="BS48" s="3">
        <f>(((BQ48-BR48)/1000)*0.000001)*N6</f>
        <v>0</v>
      </c>
      <c r="BT48" s="2" t="s">
        <v>63</v>
      </c>
      <c r="BU48" s="2"/>
      <c r="BV48" s="2">
        <v>2</v>
      </c>
      <c r="BW48" s="3" t="s">
        <v>64</v>
      </c>
      <c r="BX48" s="3" t="str">
        <f>IF(BY31=2,0.001,IF(BY31=3,0.001,IF(BY31=4,0.001,IF(BY31=5,0.001,IF(BY31=6,0.0019,IF(BY31=7,0.0019,IF(BY31=8,0.0019,IF(BY31=9,0.0019,IF(BY31=1,0.00151,"")))))))))</f>
        <v/>
      </c>
      <c r="BY48" s="3" t="str">
        <f>IF((O$8=BW48),BV48,"")</f>
        <v/>
      </c>
      <c r="BZ48" s="3" t="str">
        <f>IFERROR(SMALL(BY$47:BY$52,BV48),"")</f>
        <v/>
      </c>
      <c r="CA48" s="58" t="str">
        <f>IF(BY31=1, 55.333, IF(BY31=2, 64, IF(BY31=3, 64, IF(BY31=4, 64, IF(BY31=5, 55.333, IF(BY31=6,55.333, IF(BY31=7,55.333, IF(BY31=8, 55.333, IF(BY31=9, 55.333,"")))))))))</f>
        <v/>
      </c>
      <c r="CB48" s="3" t="b">
        <f>IF(BZ$47=BV48,O$10*BX48*13309)</f>
        <v>0</v>
      </c>
      <c r="CC48" s="3" t="b">
        <f>IF(BZ$47=BV48,O$11*BX48*13309)</f>
        <v>0</v>
      </c>
      <c r="CD48" s="3">
        <f>(((CB48-CC48)/1000)*0.000001)*O6</f>
        <v>0</v>
      </c>
      <c r="CE48" s="2" t="s">
        <v>63</v>
      </c>
      <c r="CF48" s="2"/>
      <c r="CG48" s="2"/>
    </row>
    <row r="49" spans="6:85" hidden="1">
      <c r="F49" s="2">
        <v>3</v>
      </c>
      <c r="G49" s="3" t="s">
        <v>65</v>
      </c>
      <c r="H49" s="3">
        <f>IF(N33=2, 0.088, IF(N33=3, 0.1007, IF(N33=4, 0.0338, IF(N33=5, 0.0338, IF(N33=6, 0.0338, IF(N33=7, 0.0338, IF(N33=1, 0.0539, "")))))))</f>
        <v>5.3900000000000003E-2</v>
      </c>
      <c r="I49" s="3" t="str">
        <f>IF((J$8=G49),F49,"")</f>
        <v/>
      </c>
      <c r="J49" s="3" t="str">
        <f>IFERROR(SMALL(I$47:I$52,F49),"")</f>
        <v/>
      </c>
      <c r="K49" s="58">
        <v>57</v>
      </c>
      <c r="L49" s="3" t="b">
        <f>IF(J$47=F49,J$10*H49*12310)</f>
        <v>0</v>
      </c>
      <c r="M49" s="3" t="b">
        <f>IF(J$47=F49,J$11*H49*12310)</f>
        <v>0</v>
      </c>
      <c r="N49" s="56">
        <f>(((L49-M49)/1000)*0.000001)*J6</f>
        <v>0</v>
      </c>
      <c r="O49" s="2" t="s">
        <v>63</v>
      </c>
      <c r="P49" s="2"/>
      <c r="Q49" s="2"/>
      <c r="R49" s="2"/>
      <c r="S49" s="2"/>
      <c r="U49" s="2">
        <v>3</v>
      </c>
      <c r="V49" s="3" t="s">
        <v>65</v>
      </c>
      <c r="W49" s="3" t="str">
        <f>IF(AC33=2, 0.088, IF(AC33=3, 0.1007, IF(AC33=4, 0.0338, IF(AC33=5, 0.0338, IF(AC33=6, 0.0338, IF(AC33=7, 0.0338, IF(AC33=1, 0.0539, "")))))))</f>
        <v/>
      </c>
      <c r="X49" s="3" t="str">
        <f>IF((K$8=V49),U49,"")</f>
        <v/>
      </c>
      <c r="Y49" s="3" t="str">
        <f>IFERROR(SMALL(X$47:X$52,U49),"")</f>
        <v/>
      </c>
      <c r="Z49" s="58">
        <f>57</f>
        <v>57</v>
      </c>
      <c r="AA49" s="3" t="b">
        <f>IF(Y$47=U49,K$10*W49*12310)</f>
        <v>0</v>
      </c>
      <c r="AB49" s="3" t="b">
        <f>IF(Y$47=U49,K$11*W49*12310)</f>
        <v>0</v>
      </c>
      <c r="AC49" s="56">
        <f>(((AA49-AB49)/1000)*0.000001)*K6</f>
        <v>0</v>
      </c>
      <c r="AD49" s="2" t="s">
        <v>63</v>
      </c>
      <c r="AE49" s="2"/>
      <c r="AF49" s="2"/>
      <c r="AG49" s="2"/>
      <c r="AH49" s="2"/>
      <c r="AI49" s="2">
        <v>3</v>
      </c>
      <c r="AJ49" s="3" t="s">
        <v>65</v>
      </c>
      <c r="AK49" s="3" t="str">
        <f>IF(AQ32=2, 0.088, IF(AQ32=3, 0.1007, IF(AQ32=4, 0.0338, IF(AQ32=5, 0.0338, IF(AQ32=6, 0.0338, IF(AQ32=7, 0.0338, IF(AQ32=1, 0.0539, "")))))))</f>
        <v/>
      </c>
      <c r="AL49" s="3" t="str">
        <f>IF((L$8=AJ49),AI49,"")</f>
        <v/>
      </c>
      <c r="AM49" s="3" t="str">
        <f>IFERROR(SMALL(AL$47:AL$52,AI49),"")</f>
        <v/>
      </c>
      <c r="AN49" s="58">
        <f>57</f>
        <v>57</v>
      </c>
      <c r="AO49" s="3" t="b">
        <f>IF(AM$47=AI49,L$10*AK49*12310)</f>
        <v>0</v>
      </c>
      <c r="AP49" s="3" t="b">
        <f>IF(AM$47=AI49,L$11*AK49*12310)</f>
        <v>0</v>
      </c>
      <c r="AQ49" s="3">
        <f>(((AO49-AP49)/1000)*0.000001)*L6</f>
        <v>0</v>
      </c>
      <c r="AR49" s="2" t="s">
        <v>63</v>
      </c>
      <c r="AS49" s="2"/>
      <c r="AT49" s="2"/>
      <c r="AU49" s="2"/>
      <c r="AW49" s="2">
        <v>3</v>
      </c>
      <c r="AX49" s="3" t="s">
        <v>65</v>
      </c>
      <c r="AY49" s="3" t="str">
        <f>IF(BE32=2, 0.088, IF(BE32=3, 0.1007, IF(BE32=4, 0.0338, IF(BE32=5, 0.0338, IF(BE32=6, 0.0338, IF(BE32=7, 0.0338, IF(BE32=1, 0.0539, "")))))))</f>
        <v/>
      </c>
      <c r="AZ49" s="3" t="str">
        <f>IF((M$8=AX49),AW49,"")</f>
        <v/>
      </c>
      <c r="BA49" s="3" t="str">
        <f>IFERROR(SMALL(AZ$47:AZ$52,AW49),"")</f>
        <v/>
      </c>
      <c r="BB49" s="58">
        <f>57</f>
        <v>57</v>
      </c>
      <c r="BC49" s="3" t="b">
        <f>IF(BA$47=AW49,M$10*AY49*12310)</f>
        <v>0</v>
      </c>
      <c r="BD49" s="3" t="b">
        <f>IF(BA$47=AW49,M$11*AY49*12310)</f>
        <v>0</v>
      </c>
      <c r="BE49" s="3">
        <f>(((BC49-BD49)/1000)*0.000001)*M6</f>
        <v>0</v>
      </c>
      <c r="BF49" s="2" t="s">
        <v>63</v>
      </c>
      <c r="BG49" s="2"/>
      <c r="BH49" s="2"/>
      <c r="BK49" s="2">
        <v>3</v>
      </c>
      <c r="BL49" s="3" t="s">
        <v>65</v>
      </c>
      <c r="BM49" s="3" t="str">
        <f>IF(BS31=2, 0.088, IF(BS31=3, 0.1007, IF(BS31=4, 0.0338, IF(BS31=5, 0.0338, IF(BS31=6, 0.0338, IF(BS31=7, 0.0338, IF(BS31=1, 0.0539, "")))))))</f>
        <v/>
      </c>
      <c r="BN49" s="3" t="str">
        <f>IF((N$8=BL49),BK49,"")</f>
        <v/>
      </c>
      <c r="BO49" s="3" t="str">
        <f>IFERROR(SMALL(BN$47:BN$52,BK49),"")</f>
        <v/>
      </c>
      <c r="BP49" s="58">
        <f>57</f>
        <v>57</v>
      </c>
      <c r="BQ49" s="3" t="b">
        <f>IF(BO$47=BK49,N$10*BM49*12310)</f>
        <v>0</v>
      </c>
      <c r="BR49" s="3" t="b">
        <f>IF(BO$47=BK49,N$11*BM49*12310)</f>
        <v>0</v>
      </c>
      <c r="BS49" s="3">
        <f>(((BQ49-BR49)/1000)*0.000001)*N6</f>
        <v>0</v>
      </c>
      <c r="BT49" s="2" t="s">
        <v>63</v>
      </c>
      <c r="BU49" s="2"/>
      <c r="BV49" s="2">
        <v>3</v>
      </c>
      <c r="BW49" s="3" t="s">
        <v>65</v>
      </c>
      <c r="BX49" s="3" t="str">
        <f>IF(CD31=2, 0.088, IF(CD31=3, 0.1007, IF(CD31=4, 0.0338, IF(CD31=5, 0.0338, IF(CD31=6, 0.0338, IF(CD31=7, 0.0338, IF(CD31=1, 0.0539, "")))))))</f>
        <v/>
      </c>
      <c r="BY49" s="3" t="str">
        <f>IF((O$8=BW49),BV49,"")</f>
        <v/>
      </c>
      <c r="BZ49" s="3" t="str">
        <f>IFERROR(SMALL(BY$47:BY$52,BV49),"")</f>
        <v/>
      </c>
      <c r="CA49" s="58">
        <f>57</f>
        <v>57</v>
      </c>
      <c r="CB49" s="3" t="b">
        <f>IF(BZ$47=BV49,O$10*BX49*12310)</f>
        <v>0</v>
      </c>
      <c r="CC49" s="3" t="b">
        <f>IF(BZ$47=BV49,O$11*BX49*12310)</f>
        <v>0</v>
      </c>
      <c r="CD49" s="3">
        <f>(((CB49-CC49)/1000)*0.000001)*O6</f>
        <v>0</v>
      </c>
      <c r="CE49" s="2" t="s">
        <v>63</v>
      </c>
      <c r="CF49" s="2"/>
      <c r="CG49" s="2"/>
    </row>
    <row r="50" spans="6:85" hidden="1">
      <c r="F50" s="11">
        <v>5</v>
      </c>
      <c r="G50" s="7" t="s">
        <v>66</v>
      </c>
      <c r="H50" s="7">
        <v>2.8299999999999999E-2</v>
      </c>
      <c r="I50" s="7" t="str">
        <f>IF((Q$8=G50),F50,"")</f>
        <v/>
      </c>
      <c r="J50" s="7" t="str">
        <f>IFERROR(SMALL(I$52:I$57,F50),"")</f>
        <v/>
      </c>
      <c r="K50" s="59">
        <f>39.57</f>
        <v>39.57</v>
      </c>
      <c r="L50" s="7" t="b">
        <f>IF(J$52=F50,I$8*(K50*H50))</f>
        <v>0</v>
      </c>
      <c r="M50" s="7" t="b">
        <f>IF(J$52=F50,L$8*(K50*H50))</f>
        <v>0</v>
      </c>
      <c r="N50" s="7">
        <f>L50-M50</f>
        <v>0</v>
      </c>
      <c r="O50" s="2"/>
      <c r="P50" s="2"/>
      <c r="Q50" s="2"/>
      <c r="R50" s="2"/>
      <c r="S50" s="2"/>
      <c r="U50" s="11">
        <v>4</v>
      </c>
      <c r="V50" s="7" t="s">
        <v>66</v>
      </c>
      <c r="W50" s="7">
        <v>2.8299999999999999E-2</v>
      </c>
      <c r="X50" s="7" t="str">
        <f>IF((AF$8=V50),U50,"")</f>
        <v/>
      </c>
      <c r="Y50" s="7" t="str">
        <f>IFERROR(SMALL(X$52:X$57,U50),"")</f>
        <v/>
      </c>
      <c r="Z50" s="59">
        <f>39.57</f>
        <v>39.57</v>
      </c>
      <c r="AA50" s="7" t="b">
        <f>IF(Y$52=U50,X$8*(Z50*W50))</f>
        <v>0</v>
      </c>
      <c r="AB50" s="7" t="b">
        <f>IF(Y$52=U50,AA$8*(Z50*W50))</f>
        <v>0</v>
      </c>
      <c r="AC50" s="7">
        <f>AA50-AB50</f>
        <v>0</v>
      </c>
      <c r="AD50" s="2"/>
      <c r="AE50" s="2"/>
      <c r="AF50" s="2"/>
      <c r="AG50" s="2"/>
      <c r="AH50" s="2"/>
      <c r="AI50" s="11">
        <v>4</v>
      </c>
      <c r="AJ50" s="7" t="s">
        <v>66</v>
      </c>
      <c r="AK50" s="7">
        <v>2.8299999999999999E-2</v>
      </c>
      <c r="AL50" s="7" t="str">
        <f>IF((AT$8=AJ50),AI50,"")</f>
        <v/>
      </c>
      <c r="AM50" s="7" t="str">
        <f>IFERROR(SMALL(AL$52:AL$57,AI50),"")</f>
        <v/>
      </c>
      <c r="AN50" s="59">
        <f>39.57</f>
        <v>39.57</v>
      </c>
      <c r="AO50" s="7" t="b">
        <f>IF(AM$52=AI50,AL$8*(AN50*AK50))</f>
        <v>0</v>
      </c>
      <c r="AP50" s="7" t="b">
        <f>IF(AM$52=AI50,AO$8*(AN50*AK50))</f>
        <v>0</v>
      </c>
      <c r="AQ50" s="7">
        <f>AO50-AP50</f>
        <v>0</v>
      </c>
      <c r="AR50" s="2"/>
      <c r="AS50" s="2"/>
      <c r="AT50" s="2"/>
      <c r="AU50" s="2"/>
      <c r="AW50" s="11">
        <v>4</v>
      </c>
      <c r="AX50" s="7" t="s">
        <v>66</v>
      </c>
      <c r="AY50" s="7">
        <v>2.8299999999999999E-2</v>
      </c>
      <c r="AZ50" s="7" t="str">
        <f>IF((BH$8=AX50),AW50,"")</f>
        <v/>
      </c>
      <c r="BA50" s="7" t="str">
        <f>IFERROR(SMALL(AZ$52:AZ$57,AW50),"")</f>
        <v/>
      </c>
      <c r="BB50" s="59">
        <f>39.57</f>
        <v>39.57</v>
      </c>
      <c r="BC50" s="7" t="b">
        <f>IF(BA$52=AW50,AZ$8*(BB50*AY50))</f>
        <v>0</v>
      </c>
      <c r="BD50" s="7" t="b">
        <f>IF(BA$52=AW50,BC$8*(BB50*AY50))</f>
        <v>0</v>
      </c>
      <c r="BE50" s="7">
        <f>BC50-BD50</f>
        <v>0</v>
      </c>
      <c r="BF50" s="2"/>
      <c r="BG50" s="2"/>
      <c r="BH50" s="2"/>
      <c r="BK50" s="11">
        <v>4</v>
      </c>
      <c r="BL50" s="7" t="s">
        <v>66</v>
      </c>
      <c r="BM50" s="7">
        <v>2.8299999999999999E-2</v>
      </c>
      <c r="BN50" s="7" t="str">
        <f>IF((BV$8=BL50),BK50,"")</f>
        <v/>
      </c>
      <c r="BO50" s="7" t="str">
        <f>IFERROR(SMALL(BN$52:BN$57,BK50),"")</f>
        <v/>
      </c>
      <c r="BP50" s="59">
        <f>39.57</f>
        <v>39.57</v>
      </c>
      <c r="BQ50" s="7" t="b">
        <f>IF(BO$52=BK50,BN$8*(BP50*BM50))</f>
        <v>0</v>
      </c>
      <c r="BR50" s="7" t="b">
        <f>IF(BO$52=BK50,BQ$8*(BP50*BM50))</f>
        <v>0</v>
      </c>
      <c r="BS50" s="7">
        <f>BQ50-BR50</f>
        <v>0</v>
      </c>
      <c r="BT50" s="2"/>
      <c r="BU50" s="2"/>
      <c r="BV50" s="11">
        <v>4</v>
      </c>
      <c r="BW50" s="7" t="s">
        <v>66</v>
      </c>
      <c r="BX50" s="7">
        <v>2.8299999999999999E-2</v>
      </c>
      <c r="BY50" s="7" t="str">
        <f>IF((CG$8=BW50),BV50,"")</f>
        <v/>
      </c>
      <c r="BZ50" s="7" t="str">
        <f>IFERROR(SMALL(BY$52:BY$57,BV50),"")</f>
        <v/>
      </c>
      <c r="CA50" s="59">
        <f>39.57</f>
        <v>39.57</v>
      </c>
      <c r="CB50" s="7" t="b">
        <f>IF(BZ$52=BV50,BY$8*(CA50*BX50))</f>
        <v>0</v>
      </c>
      <c r="CC50" s="7" t="b">
        <f>IF(BZ$52=BV50,CB$8*(CA50*BX50))</f>
        <v>0</v>
      </c>
      <c r="CD50" s="7">
        <f>CB50-CC50</f>
        <v>0</v>
      </c>
      <c r="CE50" s="2"/>
      <c r="CF50" s="2"/>
      <c r="CG50" s="2"/>
    </row>
    <row r="51" spans="6:85" hidden="1">
      <c r="F51" s="11">
        <v>6</v>
      </c>
      <c r="G51" s="7" t="s">
        <v>67</v>
      </c>
      <c r="H51" s="7">
        <v>3.3799999999999997E-2</v>
      </c>
      <c r="I51" s="7" t="str">
        <f>IF((Q$8=G51),F51,"")</f>
        <v/>
      </c>
      <c r="J51" s="7" t="str">
        <f>IFERROR(SMALL(I$52:I$57,F51),"")</f>
        <v/>
      </c>
      <c r="K51" s="59">
        <f>87</f>
        <v>87</v>
      </c>
      <c r="L51" s="7" t="b">
        <f>IF(J$52=F51,I$8*(K51*H51))</f>
        <v>0</v>
      </c>
      <c r="M51" s="7" t="b">
        <f>IF(J$52=F51,L$8*(K51*H51))</f>
        <v>0</v>
      </c>
      <c r="N51" s="7">
        <f>L51-M51</f>
        <v>0</v>
      </c>
      <c r="O51" s="2"/>
      <c r="P51" s="2"/>
      <c r="Q51" s="2"/>
      <c r="R51" s="2"/>
      <c r="S51" s="2"/>
      <c r="U51" s="11">
        <v>5</v>
      </c>
      <c r="V51" s="7" t="s">
        <v>67</v>
      </c>
      <c r="W51" s="7">
        <v>3.3799999999999997E-2</v>
      </c>
      <c r="X51" s="7" t="str">
        <f>IF((AF$8=V51),U51,"")</f>
        <v/>
      </c>
      <c r="Y51" s="7" t="str">
        <f>IFERROR(SMALL(X$52:X$57,U51),"")</f>
        <v/>
      </c>
      <c r="Z51" s="59">
        <f>87</f>
        <v>87</v>
      </c>
      <c r="AA51" s="7" t="b">
        <f>IF(Y$52=U51,X$8*(Z51*W51))</f>
        <v>0</v>
      </c>
      <c r="AB51" s="7" t="b">
        <f>IF(Y$52=U51,AA$8*(Z51*W51))</f>
        <v>0</v>
      </c>
      <c r="AC51" s="7">
        <f>AA51-AB51</f>
        <v>0</v>
      </c>
      <c r="AD51" s="2"/>
      <c r="AE51" s="2"/>
      <c r="AF51" s="2"/>
      <c r="AG51" s="2"/>
      <c r="AH51" s="2"/>
      <c r="AI51" s="11">
        <v>5</v>
      </c>
      <c r="AJ51" s="7" t="s">
        <v>67</v>
      </c>
      <c r="AK51" s="7">
        <v>3.3799999999999997E-2</v>
      </c>
      <c r="AL51" s="7" t="str">
        <f>IF((AT$8=AJ51),AI51,"")</f>
        <v/>
      </c>
      <c r="AM51" s="7" t="str">
        <f>IFERROR(SMALL(AL$52:AL$57,AI51),"")</f>
        <v/>
      </c>
      <c r="AN51" s="59">
        <f>87</f>
        <v>87</v>
      </c>
      <c r="AO51" s="7" t="b">
        <f>IF(AM$52=AI51,AL$8*(AN51*AK51))</f>
        <v>0</v>
      </c>
      <c r="AP51" s="7" t="b">
        <f>IF(AM$52=AI51,AO$8*(AN51*AK51))</f>
        <v>0</v>
      </c>
      <c r="AQ51" s="7">
        <f>AO51-AP51</f>
        <v>0</v>
      </c>
      <c r="AR51" s="2"/>
      <c r="AS51" s="2"/>
      <c r="AT51" s="2"/>
      <c r="AU51" s="2"/>
      <c r="AW51" s="11">
        <v>5</v>
      </c>
      <c r="AX51" s="7" t="s">
        <v>67</v>
      </c>
      <c r="AY51" s="7">
        <v>3.3799999999999997E-2</v>
      </c>
      <c r="AZ51" s="7" t="str">
        <f>IF((BH$8=AX51),AW51,"")</f>
        <v/>
      </c>
      <c r="BA51" s="7" t="str">
        <f>IFERROR(SMALL(AZ$52:AZ$57,AW51),"")</f>
        <v/>
      </c>
      <c r="BB51" s="59">
        <f>87</f>
        <v>87</v>
      </c>
      <c r="BC51" s="7" t="b">
        <f>IF(BA$52=AW51,AZ$8*(BB51*AY51))</f>
        <v>0</v>
      </c>
      <c r="BD51" s="7" t="b">
        <f>IF(BA$52=AW51,BC$8*(BB51*AY51))</f>
        <v>0</v>
      </c>
      <c r="BE51" s="7">
        <f>BC51-BD51</f>
        <v>0</v>
      </c>
      <c r="BF51" s="2"/>
      <c r="BG51" s="2"/>
      <c r="BH51" s="2"/>
      <c r="BK51" s="11">
        <v>5</v>
      </c>
      <c r="BL51" s="7" t="s">
        <v>67</v>
      </c>
      <c r="BM51" s="7">
        <v>3.3799999999999997E-2</v>
      </c>
      <c r="BN51" s="7" t="str">
        <f>IF((BV$8=BL51),BK51,"")</f>
        <v/>
      </c>
      <c r="BO51" s="7" t="str">
        <f>IFERROR(SMALL(BN$52:BN$57,BK51),"")</f>
        <v/>
      </c>
      <c r="BP51" s="59">
        <f>87</f>
        <v>87</v>
      </c>
      <c r="BQ51" s="7" t="b">
        <f>IF(BO$52=BK51,BN$8*(BP51*BM51))</f>
        <v>0</v>
      </c>
      <c r="BR51" s="7" t="b">
        <f>IF(BO$52=BK51,BQ$8*(BP51*BM51))</f>
        <v>0</v>
      </c>
      <c r="BS51" s="7">
        <f>BQ51-BR51</f>
        <v>0</v>
      </c>
      <c r="BT51" s="2"/>
      <c r="BU51" s="2"/>
      <c r="BV51" s="11">
        <v>5</v>
      </c>
      <c r="BW51" s="7" t="s">
        <v>67</v>
      </c>
      <c r="BX51" s="7">
        <v>3.3799999999999997E-2</v>
      </c>
      <c r="BY51" s="7" t="str">
        <f>IF((CG$8=BW51),BV51,"")</f>
        <v/>
      </c>
      <c r="BZ51" s="7" t="str">
        <f>IFERROR(SMALL(BY$52:BY$57,BV51),"")</f>
        <v/>
      </c>
      <c r="CA51" s="59">
        <f>87</f>
        <v>87</v>
      </c>
      <c r="CB51" s="7" t="b">
        <f>IF(BZ$52=BV51,BY$8*(CA51*BX51))</f>
        <v>0</v>
      </c>
      <c r="CC51" s="7" t="b">
        <f>IF(BZ$52=BV51,CB$8*(CA51*BX51))</f>
        <v>0</v>
      </c>
      <c r="CD51" s="7">
        <f>CB51-CC51</f>
        <v>0</v>
      </c>
      <c r="CE51" s="2"/>
      <c r="CF51" s="2"/>
      <c r="CG51" s="2"/>
    </row>
    <row r="52" spans="6:85" hidden="1">
      <c r="F52" s="11">
        <v>7</v>
      </c>
      <c r="G52" s="7" t="s">
        <v>68</v>
      </c>
      <c r="H52" s="7">
        <v>3.39E-2</v>
      </c>
      <c r="I52" s="7" t="str">
        <f>IF((Q$8=G52),F52,"")</f>
        <v/>
      </c>
      <c r="J52" s="7" t="str">
        <f>IFERROR(SMALL(I$52:I$57,F52),"")</f>
        <v/>
      </c>
      <c r="K52" s="59">
        <f>63</f>
        <v>63</v>
      </c>
      <c r="L52" s="7" t="b">
        <f>IF(J$52=F52,I$8*(K52*H52))</f>
        <v>0</v>
      </c>
      <c r="M52" s="7" t="b">
        <f>IF(J$52=F52,L$8*(K52*H52))</f>
        <v>0</v>
      </c>
      <c r="N52" s="7">
        <f>L52-M52</f>
        <v>0</v>
      </c>
      <c r="O52" s="2"/>
      <c r="P52" s="2"/>
      <c r="Q52" s="2"/>
      <c r="R52" s="2"/>
      <c r="S52" s="2"/>
      <c r="U52" s="11">
        <v>6</v>
      </c>
      <c r="V52" s="7" t="s">
        <v>68</v>
      </c>
      <c r="W52" s="7">
        <v>3.39E-2</v>
      </c>
      <c r="X52" s="7" t="str">
        <f>IF((AF$8=V52),U52,"")</f>
        <v/>
      </c>
      <c r="Y52" s="7" t="str">
        <f>IFERROR(SMALL(X$52:X$57,U52),"")</f>
        <v/>
      </c>
      <c r="Z52" s="59">
        <f>63</f>
        <v>63</v>
      </c>
      <c r="AA52" s="7" t="b">
        <f>IF(Y$52=U52,X$8*(Z52*W52))</f>
        <v>0</v>
      </c>
      <c r="AB52" s="7" t="b">
        <f>IF(Y$52=U52,AA$8*(Z52*W52))</f>
        <v>0</v>
      </c>
      <c r="AC52" s="7">
        <f>AA52-AB52</f>
        <v>0</v>
      </c>
      <c r="AD52" s="2"/>
      <c r="AE52" s="2"/>
      <c r="AF52" s="2"/>
      <c r="AG52" s="2"/>
      <c r="AH52" s="2"/>
      <c r="AI52" s="11">
        <v>6</v>
      </c>
      <c r="AJ52" s="7" t="s">
        <v>68</v>
      </c>
      <c r="AK52" s="7">
        <v>3.39E-2</v>
      </c>
      <c r="AL52" s="7" t="str">
        <f>IF((AT$8=AJ52),AI52,"")</f>
        <v/>
      </c>
      <c r="AM52" s="7" t="str">
        <f>IFERROR(SMALL(AL$52:AL$57,AI52),"")</f>
        <v/>
      </c>
      <c r="AN52" s="59">
        <f>63</f>
        <v>63</v>
      </c>
      <c r="AO52" s="7" t="b">
        <f>IF(AM$52=AI52,AL$8*(AN52*AK52))</f>
        <v>0</v>
      </c>
      <c r="AP52" s="7" t="b">
        <f>IF(AM$52=AI52,AO$8*(AN52*AK52))</f>
        <v>0</v>
      </c>
      <c r="AQ52" s="7">
        <f>AO52-AP52</f>
        <v>0</v>
      </c>
      <c r="AR52" s="2"/>
      <c r="AS52" s="2"/>
      <c r="AT52" s="2"/>
      <c r="AU52" s="2"/>
      <c r="AW52" s="11">
        <v>6</v>
      </c>
      <c r="AX52" s="7" t="s">
        <v>68</v>
      </c>
      <c r="AY52" s="7">
        <v>3.39E-2</v>
      </c>
      <c r="AZ52" s="7" t="str">
        <f>IF((BH$8=AX52),AW52,"")</f>
        <v/>
      </c>
      <c r="BA52" s="7" t="str">
        <f>IFERROR(SMALL(AZ$52:AZ$57,AW52),"")</f>
        <v/>
      </c>
      <c r="BB52" s="59">
        <f>63</f>
        <v>63</v>
      </c>
      <c r="BC52" s="7" t="b">
        <f>IF(BA$52=AW52,AZ$8*(BB52*AY52))</f>
        <v>0</v>
      </c>
      <c r="BD52" s="7" t="b">
        <f>IF(BA$52=AW52,BC$8*(BB52*AY52))</f>
        <v>0</v>
      </c>
      <c r="BE52" s="7">
        <f>BC52-BD52</f>
        <v>0</v>
      </c>
      <c r="BF52" s="2"/>
      <c r="BG52" s="2"/>
      <c r="BH52" s="2"/>
      <c r="BK52" s="11">
        <v>6</v>
      </c>
      <c r="BL52" s="7" t="s">
        <v>68</v>
      </c>
      <c r="BM52" s="7">
        <v>3.39E-2</v>
      </c>
      <c r="BN52" s="7" t="str">
        <f>IF((BV$8=BL52),BK52,"")</f>
        <v/>
      </c>
      <c r="BO52" s="7" t="str">
        <f>IFERROR(SMALL(BN$52:BN$57,BK52),"")</f>
        <v/>
      </c>
      <c r="BP52" s="59">
        <f>63</f>
        <v>63</v>
      </c>
      <c r="BQ52" s="7" t="b">
        <f>IF(BO$52=BK52,BN$8*(BP52*BM52))</f>
        <v>0</v>
      </c>
      <c r="BR52" s="7" t="b">
        <f>IF(BO$52=BK52,BQ$8*(BP52*BM52))</f>
        <v>0</v>
      </c>
      <c r="BS52" s="7">
        <f>BQ52-BR52</f>
        <v>0</v>
      </c>
      <c r="BT52" s="2"/>
      <c r="BU52" s="2"/>
      <c r="BV52" s="11">
        <v>6</v>
      </c>
      <c r="BW52" s="7" t="s">
        <v>68</v>
      </c>
      <c r="BX52" s="7">
        <v>3.39E-2</v>
      </c>
      <c r="BY52" s="7" t="str">
        <f>IF((CG$8=BW52),BV52,"")</f>
        <v/>
      </c>
      <c r="BZ52" s="7" t="str">
        <f>IFERROR(SMALL(BY$52:BY$57,BV52),"")</f>
        <v/>
      </c>
      <c r="CA52" s="59">
        <f>63</f>
        <v>63</v>
      </c>
      <c r="CB52" s="7" t="b">
        <f>IF(BZ$52=BV52,BY$8*(CA52*BX52))</f>
        <v>0</v>
      </c>
      <c r="CC52" s="7" t="b">
        <f>IF(BZ$52=BV52,CB$8*(CA52*BX52))</f>
        <v>0</v>
      </c>
      <c r="CD52" s="7">
        <f>CB52-CC52</f>
        <v>0</v>
      </c>
      <c r="CE52" s="2"/>
      <c r="CF52" s="2"/>
      <c r="CG52" s="2"/>
    </row>
    <row r="53" spans="6:85" hidden="1">
      <c r="F53" s="2"/>
      <c r="G53" s="2"/>
      <c r="H53" s="2"/>
      <c r="I53" s="2"/>
      <c r="J53" s="2"/>
      <c r="K53" s="2"/>
      <c r="L53" s="2"/>
      <c r="M53" s="2"/>
      <c r="N53" s="2"/>
      <c r="O53" s="2"/>
      <c r="P53" s="2"/>
      <c r="Q53" s="2"/>
      <c r="R53" s="2"/>
      <c r="S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W53" s="2"/>
      <c r="AX53" s="2"/>
      <c r="AY53" s="2"/>
      <c r="AZ53" s="2"/>
      <c r="BA53" s="2"/>
      <c r="BB53" s="2"/>
      <c r="BC53" s="2"/>
      <c r="BD53" s="2"/>
      <c r="BE53" s="2"/>
      <c r="BF53" s="2"/>
      <c r="BG53" s="2"/>
      <c r="BH53" s="2"/>
      <c r="BK53" s="2"/>
      <c r="BL53" s="2"/>
      <c r="BM53" s="2"/>
      <c r="BN53" s="2"/>
      <c r="BO53" s="2"/>
      <c r="BP53" s="2"/>
      <c r="BQ53" s="2"/>
      <c r="BR53" s="2"/>
      <c r="BS53" s="2"/>
      <c r="BT53" s="2"/>
      <c r="BU53" s="2"/>
      <c r="BV53" s="2"/>
      <c r="BW53" s="2"/>
      <c r="BX53" s="2"/>
      <c r="BY53" s="2"/>
      <c r="BZ53" s="2"/>
      <c r="CA53" s="2"/>
      <c r="CB53" s="2"/>
      <c r="CC53" s="2"/>
      <c r="CD53" s="2"/>
      <c r="CE53" s="2"/>
      <c r="CF53" s="2"/>
      <c r="CG53" s="2"/>
    </row>
    <row r="54" spans="6:85" hidden="1">
      <c r="F54" s="2"/>
      <c r="G54" s="2"/>
      <c r="H54" s="2" t="s">
        <v>54</v>
      </c>
      <c r="I54" s="2"/>
      <c r="J54" s="2"/>
      <c r="K54" s="2"/>
      <c r="L54" s="2"/>
      <c r="M54" s="2"/>
      <c r="N54" s="2"/>
      <c r="O54" s="2"/>
      <c r="P54" s="2"/>
      <c r="Q54" s="2"/>
      <c r="R54" s="2"/>
      <c r="S54" s="2"/>
      <c r="U54" s="2"/>
      <c r="V54" s="2"/>
      <c r="W54" s="2" t="s">
        <v>54</v>
      </c>
      <c r="X54" s="2"/>
      <c r="Y54" s="2"/>
      <c r="Z54" s="2"/>
      <c r="AA54" s="2"/>
      <c r="AB54" s="2"/>
      <c r="AC54" s="2"/>
      <c r="AD54" s="2"/>
      <c r="AE54" s="2"/>
      <c r="AF54" s="2"/>
      <c r="AG54" s="2"/>
      <c r="AH54" s="2"/>
      <c r="AI54" s="2"/>
      <c r="AJ54" s="2"/>
      <c r="AK54" s="2" t="s">
        <v>54</v>
      </c>
      <c r="AL54" s="2"/>
      <c r="AM54" s="2"/>
      <c r="AN54" s="2"/>
      <c r="AO54" s="2"/>
      <c r="AP54" s="2"/>
      <c r="AQ54" s="2"/>
      <c r="AR54" s="2"/>
      <c r="AS54" s="2"/>
      <c r="AT54" s="2"/>
      <c r="AU54" s="2"/>
      <c r="AW54" s="2"/>
      <c r="AX54" s="2"/>
      <c r="AY54" s="2" t="s">
        <v>54</v>
      </c>
      <c r="AZ54" s="2"/>
      <c r="BA54" s="2"/>
      <c r="BB54" s="2"/>
      <c r="BC54" s="2"/>
      <c r="BD54" s="2"/>
      <c r="BE54" s="2"/>
      <c r="BF54" s="2"/>
      <c r="BG54" s="2"/>
      <c r="BH54" s="2"/>
      <c r="BK54" s="2"/>
      <c r="BL54" s="2"/>
      <c r="BM54" s="2" t="s">
        <v>54</v>
      </c>
      <c r="BN54" s="2"/>
      <c r="BO54" s="2"/>
      <c r="BP54" s="2"/>
      <c r="BQ54" s="2"/>
      <c r="BR54" s="2"/>
      <c r="BS54" s="2"/>
      <c r="BT54" s="2"/>
      <c r="BU54" s="2"/>
      <c r="BV54" s="2"/>
      <c r="BW54" s="2"/>
      <c r="BX54" s="2" t="s">
        <v>54</v>
      </c>
      <c r="BY54" s="2"/>
      <c r="BZ54" s="2"/>
      <c r="CA54" s="2"/>
      <c r="CB54" s="2"/>
      <c r="CC54" s="2"/>
      <c r="CD54" s="2"/>
      <c r="CE54" s="2"/>
      <c r="CF54" s="2"/>
      <c r="CG54" s="2"/>
    </row>
    <row r="55" spans="6:85" hidden="1">
      <c r="F55" s="2"/>
      <c r="G55" s="12" t="s">
        <v>56</v>
      </c>
      <c r="H55" s="12" t="s">
        <v>69</v>
      </c>
      <c r="I55" s="2" t="s">
        <v>58</v>
      </c>
      <c r="J55" s="2" t="s">
        <v>58</v>
      </c>
      <c r="K55" s="12" t="s">
        <v>59</v>
      </c>
      <c r="L55" s="2" t="s">
        <v>60</v>
      </c>
      <c r="M55" s="2" t="s">
        <v>61</v>
      </c>
      <c r="N55" s="2" t="s">
        <v>62</v>
      </c>
      <c r="O55" s="2"/>
      <c r="P55" s="2"/>
      <c r="Q55" s="2"/>
      <c r="R55" s="2"/>
      <c r="S55" s="2"/>
      <c r="U55" s="2"/>
      <c r="V55" s="12" t="s">
        <v>56</v>
      </c>
      <c r="W55" s="12" t="s">
        <v>69</v>
      </c>
      <c r="X55" s="2" t="s">
        <v>58</v>
      </c>
      <c r="Y55" s="2" t="s">
        <v>58</v>
      </c>
      <c r="Z55" s="12" t="s">
        <v>59</v>
      </c>
      <c r="AA55" s="2" t="s">
        <v>60</v>
      </c>
      <c r="AB55" s="2" t="s">
        <v>61</v>
      </c>
      <c r="AC55" s="2" t="s">
        <v>62</v>
      </c>
      <c r="AD55" s="2"/>
      <c r="AE55" s="2"/>
      <c r="AF55" s="2"/>
      <c r="AG55" s="2"/>
      <c r="AH55" s="2"/>
      <c r="AI55" s="2"/>
      <c r="AJ55" s="12" t="s">
        <v>56</v>
      </c>
      <c r="AK55" s="12" t="s">
        <v>69</v>
      </c>
      <c r="AL55" s="2" t="s">
        <v>58</v>
      </c>
      <c r="AM55" s="2" t="s">
        <v>58</v>
      </c>
      <c r="AN55" s="12" t="s">
        <v>59</v>
      </c>
      <c r="AO55" s="2" t="s">
        <v>60</v>
      </c>
      <c r="AP55" s="2" t="s">
        <v>61</v>
      </c>
      <c r="AQ55" s="2" t="s">
        <v>62</v>
      </c>
      <c r="AR55" s="2"/>
      <c r="AS55" s="2"/>
      <c r="AT55" s="2"/>
      <c r="AU55" s="2"/>
      <c r="AW55" s="2"/>
      <c r="AX55" s="12" t="s">
        <v>56</v>
      </c>
      <c r="AY55" s="12" t="s">
        <v>69</v>
      </c>
      <c r="AZ55" s="2" t="s">
        <v>58</v>
      </c>
      <c r="BA55" s="2" t="s">
        <v>58</v>
      </c>
      <c r="BB55" s="12" t="s">
        <v>59</v>
      </c>
      <c r="BC55" s="2" t="s">
        <v>60</v>
      </c>
      <c r="BD55" s="2" t="s">
        <v>61</v>
      </c>
      <c r="BE55" s="2" t="s">
        <v>62</v>
      </c>
      <c r="BF55" s="2"/>
      <c r="BG55" s="2"/>
      <c r="BH55" s="2"/>
      <c r="BK55" s="2"/>
      <c r="BL55" s="12" t="s">
        <v>56</v>
      </c>
      <c r="BM55" s="12" t="s">
        <v>69</v>
      </c>
      <c r="BN55" s="2" t="s">
        <v>58</v>
      </c>
      <c r="BO55" s="2" t="s">
        <v>58</v>
      </c>
      <c r="BP55" s="12" t="s">
        <v>59</v>
      </c>
      <c r="BQ55" s="2" t="s">
        <v>60</v>
      </c>
      <c r="BR55" s="2" t="s">
        <v>61</v>
      </c>
      <c r="BS55" s="2" t="s">
        <v>62</v>
      </c>
      <c r="BT55" s="2"/>
      <c r="BU55" s="2"/>
      <c r="BV55" s="2"/>
      <c r="BW55" s="12" t="s">
        <v>56</v>
      </c>
      <c r="BX55" s="12" t="s">
        <v>69</v>
      </c>
      <c r="BY55" s="2" t="s">
        <v>58</v>
      </c>
      <c r="BZ55" s="2" t="s">
        <v>58</v>
      </c>
      <c r="CA55" s="12" t="s">
        <v>59</v>
      </c>
      <c r="CB55" s="2" t="s">
        <v>60</v>
      </c>
      <c r="CC55" s="2" t="s">
        <v>61</v>
      </c>
      <c r="CD55" s="2" t="s">
        <v>62</v>
      </c>
      <c r="CE55" s="2"/>
      <c r="CF55" s="2"/>
      <c r="CG55" s="2"/>
    </row>
    <row r="56" spans="6:85" hidden="1">
      <c r="F56" s="2">
        <v>1</v>
      </c>
      <c r="G56" s="3" t="s">
        <v>16</v>
      </c>
      <c r="H56" s="3">
        <f>IF(I33=2, 0.4756, IF(I33=3, 0.2176, IF(I33=4, 0.0986, IF(I33=5, 0.0522, IF(I33=6, 0.0522, IF(I33= 7, 0.0522, IF(I33=8, 0.0522, IF(I33=9, 0.0522, IF(I33=1, 0.11796, "")))))))))</f>
        <v>0.11796</v>
      </c>
      <c r="I56" s="3">
        <f>IF((J$8=G56),F56,"")</f>
        <v>1</v>
      </c>
      <c r="J56" s="3">
        <f>IFERROR(SMALL(I$56:I$61,F56),"")</f>
        <v>1</v>
      </c>
      <c r="K56" s="58">
        <f>IF(I33=1, 64.25, IF(I33=2, 69.333, IF(I33=3, 69.333, IF(I33=4, 69.333, IF(I33=5, 64.25, IF(I33=6,64.25, IF(I33=7,64.25, IF(I33=8, 64.25, IF(I33=9, 64.25,"")))))))))</f>
        <v>64.25</v>
      </c>
      <c r="L56" s="3">
        <f>IF(J$56=F56,J$10*H56*9320)</f>
        <v>429046848.67199993</v>
      </c>
      <c r="M56" s="3">
        <f>IF(J$56=F56,J$11*H56*9320)</f>
        <v>417767135.99999994</v>
      </c>
      <c r="N56" s="3">
        <f>(((L56-M56)/1000)*0.000001)*J6</f>
        <v>1.1279712671999989E-2</v>
      </c>
      <c r="O56" s="2" t="s">
        <v>63</v>
      </c>
      <c r="P56" s="2"/>
      <c r="Q56" s="2"/>
      <c r="R56" s="2"/>
      <c r="S56" s="2"/>
      <c r="U56" s="2">
        <v>1</v>
      </c>
      <c r="V56" s="3" t="s">
        <v>16</v>
      </c>
      <c r="W56" s="3" t="str">
        <f>IF(X33=2, 0.4756, IF(X33=3, 0.2176, IF(X33=4, 0.0986, IF(X33=5, 0.0522, IF(X33=6, 0.0522, IF(X33= 7, 0.0522, IF(X33=8, 0.0522, IF(X33=9, 0.0522, IF(X33=1, 0.11796, "")))))))))</f>
        <v/>
      </c>
      <c r="X56" s="3" t="str">
        <f>IF((K$8=V56),U56,"")</f>
        <v/>
      </c>
      <c r="Y56" s="3" t="str">
        <f>IFERROR(SMALL(X$56:X$61,U56),"")</f>
        <v/>
      </c>
      <c r="Z56" s="58" t="str">
        <f>IF(X33=1, 64.25, IF(X33=2, 69.333, IF(X33=3, 69.333, IF(X33=4, 69.333, IF(X33=5, 64.25, IF(X33=6,64.25, IF(X33=7,64.25, IF(X33=8, 64.25, IF(X33=9, 64.25,"")))))))))</f>
        <v/>
      </c>
      <c r="AA56" s="3" t="b">
        <f>IF(Y$56=U56,K$10*W56*9320)</f>
        <v>0</v>
      </c>
      <c r="AB56" s="3" t="b">
        <f>IF(Y$56=U56,K$11*W56*9320)</f>
        <v>0</v>
      </c>
      <c r="AC56" s="3">
        <f>(((AA56-AB56)/1000)*0.000001)*K6</f>
        <v>0</v>
      </c>
      <c r="AD56" s="2" t="s">
        <v>63</v>
      </c>
      <c r="AE56" s="2"/>
      <c r="AF56" s="2"/>
      <c r="AG56" s="2"/>
      <c r="AH56" s="2"/>
      <c r="AI56" s="2">
        <v>1</v>
      </c>
      <c r="AJ56" s="3" t="s">
        <v>16</v>
      </c>
      <c r="AK56" s="3" t="str">
        <f>IF(AL32=2, 0.4756, IF(AL32=3, 0.2176, IF(AL32=4, 0.0986, IF(AL32=5, 0.0522, IF(AL32=6, 0.0522, IF(AL32= 7, 0.0522, IF(AL32=8, 0.0522, IF(AL32=9, 0.0522, IF(AL32=1, 0.11796, "")))))))))</f>
        <v/>
      </c>
      <c r="AL56" s="3" t="str">
        <f>IF((L$8=AJ56),AI56,"")</f>
        <v/>
      </c>
      <c r="AM56" s="3" t="str">
        <f>IFERROR(SMALL(AL$56:AL$61,AI56),"")</f>
        <v/>
      </c>
      <c r="AN56" s="58" t="str">
        <f>IF(AL32=1, 64.25, IF(AL32=2, 69.333, IF(AL32=3, 69.333, IF(AL32=4, 69.333, IF(AL32=5, 64.25, IF(AL32=6,64.25, IF(AL32=7,64.25, IF(AL32=8, 64.25, IF(AL32=9, 64.25,"")))))))))</f>
        <v/>
      </c>
      <c r="AO56" s="3" t="b">
        <f>IF(AM$56=AI56,L$10*AK56*9320)</f>
        <v>0</v>
      </c>
      <c r="AP56" s="3" t="b">
        <f>IF(AM$56=AI56,L$11*AK56*9320)</f>
        <v>0</v>
      </c>
      <c r="AQ56" s="3">
        <f>(((AO56-AP56)/1000)*0.000001)*L6</f>
        <v>0</v>
      </c>
      <c r="AR56" s="2" t="s">
        <v>63</v>
      </c>
      <c r="AS56" s="2"/>
      <c r="AT56" s="2"/>
      <c r="AU56" s="2"/>
      <c r="AW56" s="2">
        <v>1</v>
      </c>
      <c r="AX56" s="3" t="s">
        <v>16</v>
      </c>
      <c r="AY56" s="3" t="str">
        <f>IF(AZ32=2, 0.4756, IF(AZ32=3, 0.2176, IF(AZ32=4, 0.0986, IF(AZ32=5, 0.0522, IF(AZ32=6, 0.0522, IF(AZ32= 7, 0.0522, IF(AZ32=8, 0.0522, IF(AZ32=9, 0.0522, IF(AZ32=1, 0.11796, "")))))))))</f>
        <v/>
      </c>
      <c r="AZ56" s="3" t="str">
        <f>IF((M$8=AX56),AW56,"")</f>
        <v/>
      </c>
      <c r="BA56" s="3" t="str">
        <f>IFERROR(SMALL(AZ$56:AZ$61,AW56),"")</f>
        <v/>
      </c>
      <c r="BB56" s="58" t="str">
        <f>IF(AZ32=1, 64.25, IF(AZ32=2, 69.333, IF(AZ32=3, 69.333, IF(AZ32=4, 69.333, IF(AZ32=5, 64.25, IF(AZ32=6,64.25, IF(AZ32=7,64.25, IF(AZ32=8, 64.25, IF(AZ32=9, 64.25,"")))))))))</f>
        <v/>
      </c>
      <c r="BC56" s="3" t="b">
        <f>IF(BA$56=AW56,M$10*AY56*9320)</f>
        <v>0</v>
      </c>
      <c r="BD56" s="54" t="b">
        <f>IF(BA$56=AW56,M$11*AY56*9320)</f>
        <v>0</v>
      </c>
      <c r="BE56" s="3">
        <f>(((BC56-BD56)/1000)*0.000001)*M6</f>
        <v>0</v>
      </c>
      <c r="BF56" s="2" t="s">
        <v>63</v>
      </c>
      <c r="BG56" s="2"/>
      <c r="BH56" s="2"/>
      <c r="BK56" s="2">
        <v>1</v>
      </c>
      <c r="BL56" s="3" t="s">
        <v>16</v>
      </c>
      <c r="BM56" s="3" t="str">
        <f>IF(BN31=2, 0.4756, IF(BN31=3, 0.2176, IF(BN31=4, 0.0986, IF(BN31=5, 0.0522, IF(BN31=6, 0.0522, IF(BN31= 7, 0.0522, IF(BN31=8, 0.0522, IF(BN31=9, 0.0522, IF(BN31=1, 0.11796, "")))))))))</f>
        <v/>
      </c>
      <c r="BN56" s="3" t="str">
        <f>IF((N$8=BL56),BK56,"")</f>
        <v/>
      </c>
      <c r="BO56" s="3" t="str">
        <f>IFERROR(SMALL(BN$56:BN$61,BK56),"")</f>
        <v/>
      </c>
      <c r="BP56" s="58" t="str">
        <f>IF(BN31=1, 64.25, IF(BN31=2, 69.333, IF(BN31=3, 69.333, IF(BN31=4, 69.333, IF(BN31=5, 64.25, IF(BN31=6,64.25, IF(BN31=7,64.25, IF(BN31=8, 64.25, IF(BN31=9, 64.25,"")))))))))</f>
        <v/>
      </c>
      <c r="BQ56" s="3" t="b">
        <f>IF(BO$56=BK56,N$10*BM56*9320)</f>
        <v>0</v>
      </c>
      <c r="BR56" s="54" t="b">
        <f>IF(BO$56=BK56,N$11*BM56*9320)</f>
        <v>0</v>
      </c>
      <c r="BS56" s="3">
        <f>(((BQ56-BR56)/1000)*0.000001)*N6</f>
        <v>0</v>
      </c>
      <c r="BT56" s="2" t="s">
        <v>63</v>
      </c>
      <c r="BU56" s="2"/>
      <c r="BV56" s="2">
        <v>1</v>
      </c>
      <c r="BW56" s="3" t="s">
        <v>16</v>
      </c>
      <c r="BX56" s="3" t="str">
        <f>IF(BY31=2, 0.4756, IF(BY31=3, 0.2176, IF(BY31=4, 0.0986, IF(BY31=5, 0.0522, IF(BY31=6, 0.0522, IF(BY31= 7, 0.0522, IF(BY31=8, 0.0522, IF(BY31=9, 0.0522, IF(BY31=1, 0.11796, "")))))))))</f>
        <v/>
      </c>
      <c r="BY56" s="3" t="str">
        <f>IF((O$8=BW56),BV56,"")</f>
        <v/>
      </c>
      <c r="BZ56" s="3" t="str">
        <f>IFERROR(SMALL(BY$56:BY$61,BV56),"")</f>
        <v/>
      </c>
      <c r="CA56" s="58" t="str">
        <f>IF(BY31=1, 64.25, IF(BY31=2, 69.333, IF(BY31=3, 69.333, IF(BY31=4, 69.333, IF(BY31=5, 64.25, IF(BY31=6,64.25, IF(BY31=7,64.25, IF(BY31=8, 64.25, IF(BY31=9, 64.25,"")))))))))</f>
        <v/>
      </c>
      <c r="CB56" s="3" t="b">
        <f>IF(BZ$56=BV56,O$10*BX56*9320)</f>
        <v>0</v>
      </c>
      <c r="CC56" s="3" t="b">
        <f>IF(BZ$56=BV56,O$11*BX56*9320)</f>
        <v>0</v>
      </c>
      <c r="CD56" s="3">
        <f>(((CB56-CC56)/1000)*0.000001)*O6</f>
        <v>0</v>
      </c>
      <c r="CE56" s="2" t="s">
        <v>63</v>
      </c>
      <c r="CF56" s="2"/>
      <c r="CG56" s="2"/>
    </row>
    <row r="57" spans="6:85" hidden="1">
      <c r="F57" s="2">
        <v>2</v>
      </c>
      <c r="G57" s="3" t="s">
        <v>64</v>
      </c>
      <c r="H57" s="3">
        <f>IF(I33=2, 0.0585, IF(I33=3, 0.0675, IF(I33=4, 0.1185, IF(I33=5, 0.014, IF(I33=6, 0.0086, IF(I33=7, 0.026, IF(I33=8, 0.026, IF(I33=9, 0.026, IF(I33=1, 0.021,"")))))))))</f>
        <v>2.1000000000000001E-2</v>
      </c>
      <c r="I57" s="3" t="str">
        <f>IF((J$8=G57),F57,"")</f>
        <v/>
      </c>
      <c r="J57" s="3" t="str">
        <f>IFERROR(SMALL(I$56:I$61,F57),"")</f>
        <v/>
      </c>
      <c r="K57" s="58">
        <f>IF(I33=1, 55.333, IF(I33=2, 64, IF(I33=3, 64, IF(I33=4, 64, IF(I33=5, 55.333, IF(I33=6,55.333, IF(I33=7,55.333, IF(I33=8, 55.333, IF(I33=9, 55.333,"")))))))))</f>
        <v>55.332999999999998</v>
      </c>
      <c r="L57" s="3" t="b">
        <f>IF(J$56=F57,J$10*H57*13309)</f>
        <v>0</v>
      </c>
      <c r="M57" s="3" t="b">
        <f>IF(J$56=F57,J$11*H57*13309)</f>
        <v>0</v>
      </c>
      <c r="N57" s="3">
        <f>(((L57-M57)/1000)*0.000001)*J6</f>
        <v>0</v>
      </c>
      <c r="O57" s="2" t="s">
        <v>63</v>
      </c>
      <c r="P57" s="2"/>
      <c r="Q57" s="2"/>
      <c r="R57" s="2"/>
      <c r="S57" s="2"/>
      <c r="U57" s="2">
        <v>2</v>
      </c>
      <c r="V57" s="3" t="s">
        <v>64</v>
      </c>
      <c r="W57" s="3" t="str">
        <f>IF(X33=2, 0.0585, IF(X33=3, 0.0675, IF(X33=4, 0.1185, IF(X33=5, 0.014, IF(X33=6, 0.0086, IF(X33=7, 0.026, IF(X33=8, 0.026, IF(X33=9, 0.026, IF(X33=1, 0.021,"")))))))))</f>
        <v/>
      </c>
      <c r="X57" s="3" t="str">
        <f>IF((K$8=V57),U57,"")</f>
        <v/>
      </c>
      <c r="Y57" s="3" t="str">
        <f>IFERROR(SMALL(X$56:X$61,U57),"")</f>
        <v/>
      </c>
      <c r="Z57" s="58" t="str">
        <f>IF(X33=1, 55.333, IF(X33=2, 64, IF(X33=3, 64, IF(X33=4, 64, IF(X33=5, 55.333, IF(X33=6,55.333, IF(X33=7,55.333, IF(X33=8, 55.333, IF(X33=9, 55.333,"")))))))))</f>
        <v/>
      </c>
      <c r="AA57" s="3" t="b">
        <f>IF(Y$56=U57,K$10*W57*13309)</f>
        <v>0</v>
      </c>
      <c r="AB57" s="3" t="b">
        <f>IF(Y$56=U57,K$11*W57*13309)</f>
        <v>0</v>
      </c>
      <c r="AC57" s="3">
        <f>(((AA57-AB57)/1000)*0.000001)*K6</f>
        <v>0</v>
      </c>
      <c r="AD57" s="2" t="s">
        <v>63</v>
      </c>
      <c r="AE57" s="2"/>
      <c r="AF57" s="2"/>
      <c r="AG57" s="2"/>
      <c r="AH57" s="2"/>
      <c r="AI57" s="2">
        <v>2</v>
      </c>
      <c r="AJ57" s="3" t="s">
        <v>64</v>
      </c>
      <c r="AK57" s="3" t="str">
        <f>IF(AL32=2, 0.0585, IF(AL32=3, 0.0675, IF(AL32=4, 0.1185, IF(AL32=5, 0.014, IF(AL32=6, 0.0086, IF(AL32=7, 0.026, IF(AL32=8, 0.026, IF(AL32=9, 0.026, IF(AL32=1, 0.021,"")))))))))</f>
        <v/>
      </c>
      <c r="AL57" s="3" t="str">
        <f>IF((L$8=AJ57),AI57,"")</f>
        <v/>
      </c>
      <c r="AM57" s="3" t="str">
        <f>IFERROR(SMALL(AL$56:AL$61,AI57),"")</f>
        <v/>
      </c>
      <c r="AN57" s="61" t="str">
        <f>IF(AL32=1, 55.333, IF(AL32=2, 64, IF(AL32=3, 64, IF(AL32=4, 64, IF(AL32=5, 55.333, IF(AL32=6,55.333, IF(AL32=7,55.333, IF(AL32=8, 55.333, IF(AL32=9, 55.333,"")))))))))</f>
        <v/>
      </c>
      <c r="AO57" s="3" t="b">
        <f>IF(AM$56=AI57,L$10*AK57*13309)</f>
        <v>0</v>
      </c>
      <c r="AP57" s="3" t="b">
        <f>IF(AM$56=AI57,L$11*AK57*13309)</f>
        <v>0</v>
      </c>
      <c r="AQ57" s="3">
        <f>(((AO57-AP57)/1000)*0.000001)*L6</f>
        <v>0</v>
      </c>
      <c r="AR57" s="2" t="s">
        <v>63</v>
      </c>
      <c r="AS57" s="2"/>
      <c r="AT57" s="2"/>
      <c r="AU57" s="2"/>
      <c r="AW57" s="2">
        <v>2</v>
      </c>
      <c r="AX57" s="3" t="s">
        <v>64</v>
      </c>
      <c r="AY57" s="3" t="str">
        <f>IF(AZ32=2, 0.0585, IF(AZ32=3, 0.0675, IF(AZ32=4, 0.1185, IF(AZ32=5, 0.014, IF(AZ32=6, 0.0086, IF(AZ32=7, 0.026, IF(AZ32=8, 0.026, IF(AZ32=9, 0.026, IF(AZ32=1, 0.021,"")))))))))</f>
        <v/>
      </c>
      <c r="AZ57" s="3" t="str">
        <f>IF((M$8=AX57),AW57,"")</f>
        <v/>
      </c>
      <c r="BA57" s="3" t="str">
        <f>IFERROR(SMALL(AZ$56:AZ$61,AW57),"")</f>
        <v/>
      </c>
      <c r="BB57" s="61" t="str">
        <f>IF(AZ32=1, 55.333, IF(AZ32=2, 64, IF(AZ32=3, 64, IF(AZ32=4, 64, IF(AZ32=5, 55.333, IF(AZ32=6,55.333, IF(AZ32=7,55.333, IF(AZ32=8, 55.333, IF(AZ32=9, 55.333,"")))))))))</f>
        <v/>
      </c>
      <c r="BC57" s="3" t="b">
        <f>IF(BA$56=AW57,M$10*AY57*13309)</f>
        <v>0</v>
      </c>
      <c r="BD57" s="3" t="b">
        <f>IF(BA$56=AW57,M$11*AY57*13309)</f>
        <v>0</v>
      </c>
      <c r="BE57" s="3">
        <f>(((BC57-BD57)/1000)*0.000001)*M6</f>
        <v>0</v>
      </c>
      <c r="BF57" s="2" t="s">
        <v>63</v>
      </c>
      <c r="BG57" s="2"/>
      <c r="BH57" s="2"/>
      <c r="BK57" s="2">
        <v>2</v>
      </c>
      <c r="BL57" s="3" t="s">
        <v>64</v>
      </c>
      <c r="BM57" s="3" t="str">
        <f>IF(BN31=2, 0.0585, IF(BN31=3, 0.0675, IF(BN31=4, 0.1185, IF(BN31=5, 0.014, IF(BN31=6, 0.0086, IF(BN31=7, 0.026, IF(BN31=8, 0.026, IF(BN31=9, 0.026, IF(BN31=1, 0.021,"")))))))))</f>
        <v/>
      </c>
      <c r="BN57" s="3" t="str">
        <f>IF((N$8=BL57),BK57,"")</f>
        <v/>
      </c>
      <c r="BO57" s="3" t="str">
        <f>IFERROR(SMALL(BN$56:BN$61,BK57),"")</f>
        <v/>
      </c>
      <c r="BP57" s="61" t="str">
        <f>IF(BN31=1, 55.333, IF(BN31=2, 64, IF(BN31=3, 64, IF(BN31=4, 64, IF(BN31=5, 55.333, IF(BN31=6,55.333, IF(BN31=7,55.333, IF(BN31=8, 55.333, IF(BN31=9, 55.333,"")))))))))</f>
        <v/>
      </c>
      <c r="BQ57" s="3" t="b">
        <f>IF(BO$56=BK57,N$10*BM57*13309)</f>
        <v>0</v>
      </c>
      <c r="BR57" s="3" t="b">
        <f>IF(BO$56=BK57,N$11*BM57*13309)</f>
        <v>0</v>
      </c>
      <c r="BS57" s="3">
        <f>(((BQ57-BR57)/1000)*0.000001)*N6</f>
        <v>0</v>
      </c>
      <c r="BT57" s="2" t="s">
        <v>63</v>
      </c>
      <c r="BU57" s="2"/>
      <c r="BV57" s="2">
        <v>2</v>
      </c>
      <c r="BW57" s="3" t="s">
        <v>64</v>
      </c>
      <c r="BX57" s="3" t="str">
        <f>IF(BY31=2, 0.0585, IF(BY31=3, 0.0675, IF(BY31=4, 0.1185, IF(BY31=5, 0.014, IF(BY31=6, 0.0086, IF(BY31=7, 0.026, IF(BY31=8, 0.026, IF(BY31=9, 0.026, IF(BY31=1, 0.021,"")))))))))</f>
        <v/>
      </c>
      <c r="BY57" s="3" t="str">
        <f>IF((O$8=BW57),BV57,"")</f>
        <v/>
      </c>
      <c r="BZ57" s="3" t="str">
        <f>IFERROR(SMALL(BY$56:BY$61,BV57),"")</f>
        <v/>
      </c>
      <c r="CA57" s="61" t="str">
        <f>IF(BY31=1, 55.333, IF(BY31=2, 64, IF(BY31=3, 64, IF(BY31=4, 64, IF(BY31=5, 55.333, IF(BY31=6,55.333, IF(BY31=7,55.333, IF(BY31=8, 55.333, IF(BY31=9, 55.333,"")))))))))</f>
        <v/>
      </c>
      <c r="CB57" s="3" t="b">
        <f>IF(BZ$56=BV57,O$10*BX57*13309)</f>
        <v>0</v>
      </c>
      <c r="CC57" s="3" t="b">
        <f>IF(BZ$56=BV57,O$11*BX57*13309)</f>
        <v>0</v>
      </c>
      <c r="CD57" s="3">
        <f>(((CB57-CC57)/1000)*0.000001)*O6</f>
        <v>0</v>
      </c>
      <c r="CE57" s="2" t="s">
        <v>63</v>
      </c>
      <c r="CF57" s="2"/>
      <c r="CG57" s="2"/>
    </row>
    <row r="58" spans="6:85" hidden="1">
      <c r="F58" s="2">
        <v>3</v>
      </c>
      <c r="G58" s="3" t="s">
        <v>65</v>
      </c>
      <c r="H58" s="3">
        <f>IF(N33=2, 0.723, IF(N33=3, 0.342, IF(N33=4, 0.12, IF(N33=5, 0.1, IF(N33=6, 0.1, IF(N33=7, 0.1, IF(N33=1, 0.2475,"")))))))</f>
        <v>0.2475</v>
      </c>
      <c r="I58" s="3" t="str">
        <f>IF((J$8=G58),F58,"")</f>
        <v/>
      </c>
      <c r="J58" s="3" t="str">
        <f>IFERROR(SMALL(I$56:I$61,F58),"")</f>
        <v/>
      </c>
      <c r="K58" s="58">
        <f>57</f>
        <v>57</v>
      </c>
      <c r="L58" s="3" t="b">
        <f>IF(J$56=F58,J$10*H58*12310)</f>
        <v>0</v>
      </c>
      <c r="M58" s="3" t="b">
        <f>IF(J$56=F58,J$11*H58*12310)</f>
        <v>0</v>
      </c>
      <c r="N58" s="3">
        <f>(((L58-M58)/1000)*0.000001)*J6</f>
        <v>0</v>
      </c>
      <c r="O58" s="2" t="s">
        <v>63</v>
      </c>
      <c r="P58" s="2"/>
      <c r="Q58" s="2"/>
      <c r="R58" s="2"/>
      <c r="S58" s="2"/>
      <c r="U58" s="2">
        <v>3</v>
      </c>
      <c r="V58" s="3" t="s">
        <v>65</v>
      </c>
      <c r="W58" s="3" t="str">
        <f>IF(AC33=2, 0.723, IF(AC33=3, 0.342, IF(AC33=4, 0.12, IF(AC33=5, 0.1, IF(AC33=6, 0.1, IF(AC33=7, 0.1, IF(AC33=1, 0.2475,"")))))))</f>
        <v/>
      </c>
      <c r="X58" s="3" t="str">
        <f>IF((K$8=V58),U58,"")</f>
        <v/>
      </c>
      <c r="Y58" s="3" t="str">
        <f>IFERROR(SMALL(X$56:X$61,U58),"")</f>
        <v/>
      </c>
      <c r="Z58" s="58">
        <f>57</f>
        <v>57</v>
      </c>
      <c r="AA58" s="3" t="b">
        <f>IF(Y$56=U58,K$10*W58*12310)</f>
        <v>0</v>
      </c>
      <c r="AB58" s="3" t="b">
        <f>IF(Y$56=U58,K$11*W58*12310)</f>
        <v>0</v>
      </c>
      <c r="AC58" s="3">
        <f>(((AA58-AB58)/1000)*0.000001)*K6</f>
        <v>0</v>
      </c>
      <c r="AD58" s="2" t="s">
        <v>63</v>
      </c>
      <c r="AE58" s="2"/>
      <c r="AF58" s="2"/>
      <c r="AG58" s="2"/>
      <c r="AH58" s="2"/>
      <c r="AI58" s="2">
        <v>3</v>
      </c>
      <c r="AJ58" s="3" t="s">
        <v>65</v>
      </c>
      <c r="AK58" s="3" t="str">
        <f>IF(AQ32=2, 0.723, IF(AQ32=3, 0.342, IF(AQ32=4, 0.12, IF(AQ32=5, 0.1, IF(AQ32=6, 0.1, IF(AQ32=7, 0.1, IF(AQ32=1, 0.2475,"")))))))</f>
        <v/>
      </c>
      <c r="AL58" s="3" t="str">
        <f>IF((L$8=AJ58),AI58,"")</f>
        <v/>
      </c>
      <c r="AM58" s="3" t="str">
        <f>IFERROR(SMALL(AL$56:AL$61,AI58),"")</f>
        <v/>
      </c>
      <c r="AN58" s="58">
        <f>57</f>
        <v>57</v>
      </c>
      <c r="AO58" s="3" t="b">
        <f>IF(AM$56=AI58,L$10*AK58*12310)</f>
        <v>0</v>
      </c>
      <c r="AP58" s="3" t="b">
        <f>IF(AM$56=AI58,L$11*AK58*12310)</f>
        <v>0</v>
      </c>
      <c r="AQ58" s="3">
        <f>(((AO58-AP58)/1000)*0.000001)*L6</f>
        <v>0</v>
      </c>
      <c r="AR58" s="2" t="s">
        <v>63</v>
      </c>
      <c r="AS58" s="2"/>
      <c r="AT58" s="2"/>
      <c r="AU58" s="2"/>
      <c r="AW58" s="2">
        <v>3</v>
      </c>
      <c r="AX58" s="3" t="s">
        <v>65</v>
      </c>
      <c r="AY58" s="3" t="str">
        <f>IF(BE32=2, 0.723, IF(BE32=3, 0.342, IF(BE32=4, 0.12, IF(BE32=5, 0.1, IF(BE32=6, 0.1, IF(BE32=7, 0.1, IF(BE32=1, 0.2475,"")))))))</f>
        <v/>
      </c>
      <c r="AZ58" s="3" t="str">
        <f>IF((M$8=AX58),AW58,"")</f>
        <v/>
      </c>
      <c r="BA58" s="3" t="str">
        <f>IFERROR(SMALL(AZ$56:AZ$61,AW58),"")</f>
        <v/>
      </c>
      <c r="BB58" s="58">
        <f>57</f>
        <v>57</v>
      </c>
      <c r="BC58" s="3" t="b">
        <f>IF(BA$56=AW58,M$10*AY58*12310)</f>
        <v>0</v>
      </c>
      <c r="BD58" s="3" t="b">
        <f>IF(BA$56=AW58,M$11*AY58*12310)</f>
        <v>0</v>
      </c>
      <c r="BE58" s="3">
        <f>(((BC58-BD58)/1000)*0.000001)*M6</f>
        <v>0</v>
      </c>
      <c r="BF58" s="2" t="s">
        <v>63</v>
      </c>
      <c r="BG58" s="2"/>
      <c r="BH58" s="2"/>
      <c r="BK58" s="2">
        <v>3</v>
      </c>
      <c r="BL58" s="3" t="s">
        <v>65</v>
      </c>
      <c r="BM58" s="3" t="str">
        <f>IF(BS31=2, 0.723, IF(BS31=3, 0.342, IF(BS31=4, 0.12, IF(BS31=5, 0.1, IF(BS31=6, 0.1, IF(BS31=7, 0.1, IF(BS31=1, 0.2475,"")))))))</f>
        <v/>
      </c>
      <c r="BN58" s="3" t="str">
        <f>IF((N$8=BL58),BK58,"")</f>
        <v/>
      </c>
      <c r="BO58" s="3" t="str">
        <f>IFERROR(SMALL(BN$56:BN$61,BK58),"")</f>
        <v/>
      </c>
      <c r="BP58" s="58">
        <f>57</f>
        <v>57</v>
      </c>
      <c r="BQ58" s="3" t="b">
        <f>IF(BO$56=BK58,N$10*BM58*12310)</f>
        <v>0</v>
      </c>
      <c r="BR58" s="3" t="b">
        <f>IF(BO$56=BK58,N$11*BM58*12310)</f>
        <v>0</v>
      </c>
      <c r="BS58" s="3">
        <f>(((BQ58-BR58)/1000)*0.000001)*N6</f>
        <v>0</v>
      </c>
      <c r="BT58" s="2" t="s">
        <v>63</v>
      </c>
      <c r="BU58" s="2"/>
      <c r="BV58" s="2">
        <v>3</v>
      </c>
      <c r="BW58" s="3" t="s">
        <v>65</v>
      </c>
      <c r="BX58" s="3" t="str">
        <f>IF(CD31=2, 0.723, IF(CD31=3, 0.342, IF(CD31=4, 0.12, IF(CD31=5, 0.1, IF(CD31=6, 0.1, IF(CD31=7, 0.1, IF(CD31=1, 0.2475,"")))))))</f>
        <v/>
      </c>
      <c r="BY58" s="3" t="str">
        <f>IF((O$8=BW58),BV58,"")</f>
        <v/>
      </c>
      <c r="BZ58" s="3" t="str">
        <f>IFERROR(SMALL(BY$56:BY$61,BV58),"")</f>
        <v/>
      </c>
      <c r="CA58" s="58">
        <f>57</f>
        <v>57</v>
      </c>
      <c r="CB58" s="3" t="b">
        <f>IF(BZ$56=BV58,O$10*BX58*12310)</f>
        <v>0</v>
      </c>
      <c r="CC58" s="3" t="b">
        <f>IF(BZ$56=BV58,O$11*BX58*12310)</f>
        <v>0</v>
      </c>
      <c r="CD58" s="3">
        <f>(((CB58-CC58)/1000)*0.000001)*O6</f>
        <v>0</v>
      </c>
      <c r="CE58" s="2" t="s">
        <v>63</v>
      </c>
      <c r="CF58" s="2"/>
      <c r="CG58" s="2"/>
    </row>
    <row r="59" spans="6:85" hidden="1">
      <c r="F59" s="11">
        <v>4</v>
      </c>
      <c r="G59" s="7" t="s">
        <v>66</v>
      </c>
      <c r="H59" s="7">
        <v>2E-3</v>
      </c>
      <c r="I59" s="7" t="str">
        <f>IF((Q$8=G59),F59,"")</f>
        <v/>
      </c>
      <c r="J59" s="7" t="str">
        <f>IFERROR(SMALL(I$61:I$66,F59),"")</f>
        <v/>
      </c>
      <c r="K59" s="59">
        <f>39.57</f>
        <v>39.57</v>
      </c>
      <c r="L59" s="7" t="b">
        <f>IF(J$61=F59,I$8*(K59*H59))</f>
        <v>0</v>
      </c>
      <c r="M59" s="7" t="b">
        <f>IF(J$61=F59,L$8*(K59*H59))</f>
        <v>0</v>
      </c>
      <c r="N59" s="7">
        <f>L59-M59</f>
        <v>0</v>
      </c>
      <c r="O59" s="2"/>
      <c r="P59" s="2"/>
      <c r="Q59" s="2"/>
      <c r="R59" s="2"/>
      <c r="S59" s="2"/>
      <c r="U59" s="11">
        <v>4</v>
      </c>
      <c r="V59" s="7" t="s">
        <v>66</v>
      </c>
      <c r="W59" s="7">
        <v>2E-3</v>
      </c>
      <c r="X59" s="7" t="str">
        <f>IF((AF$8=V59),U59,"")</f>
        <v/>
      </c>
      <c r="Y59" s="7" t="str">
        <f>IFERROR(SMALL(X$61:X$66,U59),"")</f>
        <v/>
      </c>
      <c r="Z59" s="59">
        <f>39.57</f>
        <v>39.57</v>
      </c>
      <c r="AA59" s="7" t="b">
        <f>IF(Y$61=U59,X$8*(Z59*W59))</f>
        <v>0</v>
      </c>
      <c r="AB59" s="7" t="b">
        <f>IF(Y$61=U59,AA$8*(Z59*W59))</f>
        <v>0</v>
      </c>
      <c r="AC59" s="7">
        <f>AA59-AB59</f>
        <v>0</v>
      </c>
      <c r="AD59" s="2"/>
      <c r="AE59" s="2"/>
      <c r="AF59" s="2"/>
      <c r="AG59" s="2"/>
      <c r="AH59" s="2"/>
      <c r="AI59" s="11">
        <v>4</v>
      </c>
      <c r="AJ59" s="7" t="s">
        <v>66</v>
      </c>
      <c r="AK59" s="7">
        <v>2E-3</v>
      </c>
      <c r="AL59" s="7" t="str">
        <f>IF((AT$8=AJ59),AI59,"")</f>
        <v/>
      </c>
      <c r="AM59" s="7" t="str">
        <f>IFERROR(SMALL(AL$61:AL$66,AI59),"")</f>
        <v/>
      </c>
      <c r="AN59" s="59">
        <f>39.57</f>
        <v>39.57</v>
      </c>
      <c r="AO59" s="7" t="b">
        <f>IF(AM$61=AI59,AL$8*(AN59*AK59))</f>
        <v>0</v>
      </c>
      <c r="AP59" s="7" t="b">
        <f>IF(AM$61=AI59,AO$8*(AN59*AK59))</f>
        <v>0</v>
      </c>
      <c r="AQ59" s="7">
        <f>AO59-AP59</f>
        <v>0</v>
      </c>
      <c r="AR59" s="2"/>
      <c r="AS59" s="2"/>
      <c r="AT59" s="2"/>
      <c r="AU59" s="2"/>
      <c r="AW59" s="11">
        <v>4</v>
      </c>
      <c r="AX59" s="7" t="s">
        <v>66</v>
      </c>
      <c r="AY59" s="7">
        <v>2E-3</v>
      </c>
      <c r="AZ59" s="7" t="str">
        <f>IF((BH$8=AX59),AW59,"")</f>
        <v/>
      </c>
      <c r="BA59" s="7" t="str">
        <f>IFERROR(SMALL(AZ$61:AZ$66,AW59),"")</f>
        <v/>
      </c>
      <c r="BB59" s="59">
        <f>39.57</f>
        <v>39.57</v>
      </c>
      <c r="BC59" s="7" t="b">
        <f>IF(BA$61=AW59,AZ$8*(BB59*AY59))</f>
        <v>0</v>
      </c>
      <c r="BD59" s="7" t="b">
        <f>IF(BA$61=AW59,BC$8*(BB59*AY59))</f>
        <v>0</v>
      </c>
      <c r="BE59" s="7">
        <f>BC59-BD59</f>
        <v>0</v>
      </c>
      <c r="BF59" s="2"/>
      <c r="BG59" s="2"/>
      <c r="BH59" s="2"/>
      <c r="BK59" s="11">
        <v>4</v>
      </c>
      <c r="BL59" s="7" t="s">
        <v>66</v>
      </c>
      <c r="BM59" s="7">
        <v>2E-3</v>
      </c>
      <c r="BN59" s="7" t="str">
        <f>IF((BV$8=BL59),BK59,"")</f>
        <v/>
      </c>
      <c r="BO59" s="7" t="str">
        <f>IFERROR(SMALL(BN$61:BN$66,BK59),"")</f>
        <v/>
      </c>
      <c r="BP59" s="59">
        <f>39.57</f>
        <v>39.57</v>
      </c>
      <c r="BQ59" s="7" t="b">
        <f>IF(BO$61=BK59,BN$8*(BP59*BM59))</f>
        <v>0</v>
      </c>
      <c r="BR59" s="7" t="b">
        <f>IF(BO$61=BK59,BQ$8*(BP59*BM59))</f>
        <v>0</v>
      </c>
      <c r="BS59" s="7">
        <f>BQ59-BR59</f>
        <v>0</v>
      </c>
      <c r="BT59" s="2"/>
      <c r="BU59" s="2"/>
      <c r="BV59" s="11">
        <v>4</v>
      </c>
      <c r="BW59" s="7" t="s">
        <v>66</v>
      </c>
      <c r="BX59" s="7">
        <v>2E-3</v>
      </c>
      <c r="BY59" s="7" t="str">
        <f>IF((CG$8=BW59),BV59,"")</f>
        <v/>
      </c>
      <c r="BZ59" s="7" t="str">
        <f>IFERROR(SMALL(BY$61:BY$66,BV59),"")</f>
        <v/>
      </c>
      <c r="CA59" s="59">
        <f>39.57</f>
        <v>39.57</v>
      </c>
      <c r="CB59" s="7" t="b">
        <f>IF(BZ$61=BV59,BY$8*(CA59*BX59))</f>
        <v>0</v>
      </c>
      <c r="CC59" s="7" t="b">
        <f>IF(BZ$61=BV59,CB$8*(CA59*BX59))</f>
        <v>0</v>
      </c>
      <c r="CD59" s="7">
        <f>CB59-CC59</f>
        <v>0</v>
      </c>
      <c r="CE59" s="2"/>
      <c r="CF59" s="2"/>
      <c r="CG59" s="2"/>
    </row>
    <row r="60" spans="6:85" hidden="1">
      <c r="F60" s="11">
        <v>5</v>
      </c>
      <c r="G60" s="7" t="s">
        <v>67</v>
      </c>
      <c r="H60" s="7">
        <v>3.5000000000000003E-2</v>
      </c>
      <c r="I60" s="7" t="str">
        <f>IF((Q$8=G60),F60,"")</f>
        <v/>
      </c>
      <c r="J60" s="7" t="str">
        <f>IFERROR(SMALL(I$61:I$66,F60),"")</f>
        <v/>
      </c>
      <c r="K60" s="59">
        <f>87</f>
        <v>87</v>
      </c>
      <c r="L60" s="7" t="b">
        <f>IF(J$61=F60,I$8*(K60*H60))</f>
        <v>0</v>
      </c>
      <c r="M60" s="7" t="b">
        <f>IF(J$61=F60,L$8*(K60*H60))</f>
        <v>0</v>
      </c>
      <c r="N60" s="7">
        <f>L60-M60</f>
        <v>0</v>
      </c>
      <c r="O60" s="2"/>
      <c r="P60" s="2"/>
      <c r="Q60" s="2"/>
      <c r="R60" s="2"/>
      <c r="S60" s="2"/>
      <c r="U60" s="11">
        <v>5</v>
      </c>
      <c r="V60" s="7" t="s">
        <v>67</v>
      </c>
      <c r="W60" s="7">
        <v>3.5000000000000003E-2</v>
      </c>
      <c r="X60" s="7" t="str">
        <f>IF((AF$8=V60),U60,"")</f>
        <v/>
      </c>
      <c r="Y60" s="7" t="str">
        <f>IFERROR(SMALL(X$61:X$66,U60),"")</f>
        <v/>
      </c>
      <c r="Z60" s="59">
        <f>87</f>
        <v>87</v>
      </c>
      <c r="AA60" s="7" t="b">
        <f>IF(Y$61=U60,X$8*(Z60*W60))</f>
        <v>0</v>
      </c>
      <c r="AB60" s="7" t="b">
        <f>IF(Y$61=U60,AA$8*(Z60*W60))</f>
        <v>0</v>
      </c>
      <c r="AC60" s="7">
        <f>AA60-AB60</f>
        <v>0</v>
      </c>
      <c r="AD60" s="2"/>
      <c r="AE60" s="2"/>
      <c r="AF60" s="2"/>
      <c r="AG60" s="2"/>
      <c r="AH60" s="2"/>
      <c r="AI60" s="11">
        <v>5</v>
      </c>
      <c r="AJ60" s="7" t="s">
        <v>67</v>
      </c>
      <c r="AK60" s="7">
        <v>3.5000000000000003E-2</v>
      </c>
      <c r="AL60" s="7" t="str">
        <f>IF((AT$8=AJ60),AI60,"")</f>
        <v/>
      </c>
      <c r="AM60" s="7" t="str">
        <f>IFERROR(SMALL(AL$61:AL$66,AI60),"")</f>
        <v/>
      </c>
      <c r="AN60" s="59">
        <f>87</f>
        <v>87</v>
      </c>
      <c r="AO60" s="7" t="b">
        <f>IF(AM$61=AI60,AL$8*(AN60*AK60))</f>
        <v>0</v>
      </c>
      <c r="AP60" s="7" t="b">
        <f>IF(AM$61=AI60,AO$8*(AN60*AK60))</f>
        <v>0</v>
      </c>
      <c r="AQ60" s="7">
        <f>AO60-AP60</f>
        <v>0</v>
      </c>
      <c r="AR60" s="2"/>
      <c r="AS60" s="2"/>
      <c r="AT60" s="2"/>
      <c r="AU60" s="2"/>
      <c r="AW60" s="11">
        <v>5</v>
      </c>
      <c r="AX60" s="7" t="s">
        <v>67</v>
      </c>
      <c r="AY60" s="7">
        <v>3.5000000000000003E-2</v>
      </c>
      <c r="AZ60" s="7" t="str">
        <f>IF((BH$8=AX60),AW60,"")</f>
        <v/>
      </c>
      <c r="BA60" s="7" t="str">
        <f>IFERROR(SMALL(AZ$61:AZ$66,AW60),"")</f>
        <v/>
      </c>
      <c r="BB60" s="59">
        <f>87</f>
        <v>87</v>
      </c>
      <c r="BC60" s="7" t="b">
        <f>IF(BA$61=AW60,AZ$8*(BB60*AY60))</f>
        <v>0</v>
      </c>
      <c r="BD60" s="7" t="b">
        <f>IF(BA$61=AW60,BC$8*(BB60*AY60))</f>
        <v>0</v>
      </c>
      <c r="BE60" s="7">
        <f>BC60-BD60</f>
        <v>0</v>
      </c>
      <c r="BF60" s="2"/>
      <c r="BG60" s="2"/>
      <c r="BH60" s="2"/>
      <c r="BK60" s="11">
        <v>5</v>
      </c>
      <c r="BL60" s="7" t="s">
        <v>67</v>
      </c>
      <c r="BM60" s="7">
        <v>3.5000000000000003E-2</v>
      </c>
      <c r="BN60" s="7" t="str">
        <f>IF((BV$8=BL60),BK60,"")</f>
        <v/>
      </c>
      <c r="BO60" s="7" t="str">
        <f>IFERROR(SMALL(BN$61:BN$66,BK60),"")</f>
        <v/>
      </c>
      <c r="BP60" s="59">
        <f>87</f>
        <v>87</v>
      </c>
      <c r="BQ60" s="7" t="b">
        <f>IF(BO$61=BK60,BN$8*(BP60*BM60))</f>
        <v>0</v>
      </c>
      <c r="BR60" s="7" t="b">
        <f>IF(BO$61=BK60,BQ$8*(BP60*BM60))</f>
        <v>0</v>
      </c>
      <c r="BS60" s="7">
        <f>BQ60-BR60</f>
        <v>0</v>
      </c>
      <c r="BT60" s="2"/>
      <c r="BU60" s="2"/>
      <c r="BV60" s="11">
        <v>5</v>
      </c>
      <c r="BW60" s="7" t="s">
        <v>67</v>
      </c>
      <c r="BX60" s="7">
        <v>3.5000000000000003E-2</v>
      </c>
      <c r="BY60" s="7" t="str">
        <f>IF((CG$8=BW60),BV60,"")</f>
        <v/>
      </c>
      <c r="BZ60" s="7" t="str">
        <f>IFERROR(SMALL(BY$61:BY$66,BV60),"")</f>
        <v/>
      </c>
      <c r="CA60" s="59">
        <f>87</f>
        <v>87</v>
      </c>
      <c r="CB60" s="7" t="b">
        <f>IF(BZ$61=BV60,BY$8*(CA60*BX60))</f>
        <v>0</v>
      </c>
      <c r="CC60" s="7" t="b">
        <f>IF(BZ$61=BV60,CB$8*(CA60*BX60))</f>
        <v>0</v>
      </c>
      <c r="CD60" s="7">
        <f>CB60-CC60</f>
        <v>0</v>
      </c>
      <c r="CE60" s="2"/>
      <c r="CF60" s="2"/>
      <c r="CG60" s="2"/>
    </row>
    <row r="61" spans="6:85" hidden="1">
      <c r="F61" s="11">
        <v>6</v>
      </c>
      <c r="G61" s="7" t="s">
        <v>68</v>
      </c>
      <c r="H61" s="7">
        <v>6.2E-2</v>
      </c>
      <c r="I61" s="7" t="str">
        <f>IF((Q$8=G61),F61,"")</f>
        <v/>
      </c>
      <c r="J61" s="7" t="str">
        <f>IFERROR(SMALL(I$61:I$66,F61),"")</f>
        <v/>
      </c>
      <c r="K61" s="59">
        <f>63</f>
        <v>63</v>
      </c>
      <c r="L61" s="7" t="b">
        <f>IF(J$61=F61,I$8*(K61*H61))</f>
        <v>0</v>
      </c>
      <c r="M61" s="7" t="b">
        <f>IF(J$61=F61,L$8*(K61*H61))</f>
        <v>0</v>
      </c>
      <c r="N61" s="7">
        <f>L61-M61</f>
        <v>0</v>
      </c>
      <c r="O61" s="2"/>
      <c r="P61" s="2"/>
      <c r="Q61" s="2"/>
      <c r="R61" s="2"/>
      <c r="S61" s="2"/>
      <c r="U61" s="11">
        <v>6</v>
      </c>
      <c r="V61" s="7" t="s">
        <v>68</v>
      </c>
      <c r="W61" s="7">
        <v>6.2E-2</v>
      </c>
      <c r="X61" s="7" t="str">
        <f>IF((AF$8=V61),U61,"")</f>
        <v/>
      </c>
      <c r="Y61" s="7" t="str">
        <f>IFERROR(SMALL(X$61:X$66,U61),"")</f>
        <v/>
      </c>
      <c r="Z61" s="59">
        <f>63</f>
        <v>63</v>
      </c>
      <c r="AA61" s="7" t="b">
        <f>IF(Y$61=U61,X$8*(Z61*W61))</f>
        <v>0</v>
      </c>
      <c r="AB61" s="7" t="b">
        <f>IF(Y$61=U61,AA$8*(Z61*W61))</f>
        <v>0</v>
      </c>
      <c r="AC61" s="7">
        <f>AA61-AB61</f>
        <v>0</v>
      </c>
      <c r="AD61" s="2"/>
      <c r="AE61" s="2"/>
      <c r="AF61" s="2"/>
      <c r="AG61" s="2"/>
      <c r="AH61" s="2"/>
      <c r="AI61" s="11">
        <v>6</v>
      </c>
      <c r="AJ61" s="7" t="s">
        <v>68</v>
      </c>
      <c r="AK61" s="7">
        <v>6.2E-2</v>
      </c>
      <c r="AL61" s="7" t="str">
        <f>IF((AT$8=AJ61),AI61,"")</f>
        <v/>
      </c>
      <c r="AM61" s="7" t="str">
        <f>IFERROR(SMALL(AL$61:AL$66,AI61),"")</f>
        <v/>
      </c>
      <c r="AN61" s="59">
        <f>63</f>
        <v>63</v>
      </c>
      <c r="AO61" s="7" t="b">
        <f>IF(AM$61=AI61,AL$8*(AN61*AK61))</f>
        <v>0</v>
      </c>
      <c r="AP61" s="7" t="b">
        <f>IF(AM$61=AI61,AO$8*(AN61*AK61))</f>
        <v>0</v>
      </c>
      <c r="AQ61" s="7">
        <f>AO61-AP61</f>
        <v>0</v>
      </c>
      <c r="AR61" s="2"/>
      <c r="AS61" s="2"/>
      <c r="AT61" s="2"/>
      <c r="AU61" s="2"/>
      <c r="AW61" s="11">
        <v>6</v>
      </c>
      <c r="AX61" s="7" t="s">
        <v>68</v>
      </c>
      <c r="AY61" s="7">
        <v>6.2E-2</v>
      </c>
      <c r="AZ61" s="7" t="str">
        <f>IF((BH$8=AX61),AW61,"")</f>
        <v/>
      </c>
      <c r="BA61" s="7" t="str">
        <f>IFERROR(SMALL(AZ$61:AZ$66,AW61),"")</f>
        <v/>
      </c>
      <c r="BB61" s="59">
        <f>63</f>
        <v>63</v>
      </c>
      <c r="BC61" s="7" t="b">
        <f>IF(BA$61=AW61,AZ$8*(BB61*AY61))</f>
        <v>0</v>
      </c>
      <c r="BD61" s="7" t="b">
        <f>IF(BA$61=AW61,BC$8*(BB61*AY61))</f>
        <v>0</v>
      </c>
      <c r="BE61" s="7">
        <f>BC61-BD61</f>
        <v>0</v>
      </c>
      <c r="BF61" s="2"/>
      <c r="BG61" s="2"/>
      <c r="BH61" s="2"/>
      <c r="BK61" s="11">
        <v>6</v>
      </c>
      <c r="BL61" s="7" t="s">
        <v>68</v>
      </c>
      <c r="BM61" s="7">
        <v>6.2E-2</v>
      </c>
      <c r="BN61" s="7" t="str">
        <f>IF((BV$8=BL61),BK61,"")</f>
        <v/>
      </c>
      <c r="BO61" s="7" t="str">
        <f>IFERROR(SMALL(BN$61:BN$66,BK61),"")</f>
        <v/>
      </c>
      <c r="BP61" s="59">
        <f>63</f>
        <v>63</v>
      </c>
      <c r="BQ61" s="7" t="b">
        <f>IF(BO$61=BK61,BN$8*(BP61*BM61))</f>
        <v>0</v>
      </c>
      <c r="BR61" s="7" t="b">
        <f>IF(BO$61=BK61,BQ$8*(BP61*BM61))</f>
        <v>0</v>
      </c>
      <c r="BS61" s="7">
        <f>BQ61-BR61</f>
        <v>0</v>
      </c>
      <c r="BT61" s="2"/>
      <c r="BU61" s="2"/>
      <c r="BV61" s="11">
        <v>6</v>
      </c>
      <c r="BW61" s="7" t="s">
        <v>68</v>
      </c>
      <c r="BX61" s="7">
        <v>6.2E-2</v>
      </c>
      <c r="BY61" s="7" t="str">
        <f>IF((CG$8=BW61),BV61,"")</f>
        <v/>
      </c>
      <c r="BZ61" s="7" t="str">
        <f>IFERROR(SMALL(BY$61:BY$66,BV61),"")</f>
        <v/>
      </c>
      <c r="CA61" s="59">
        <f>63</f>
        <v>63</v>
      </c>
      <c r="CB61" s="7" t="b">
        <f>IF(BZ$61=BV61,BY$8*(CA61*BX61))</f>
        <v>0</v>
      </c>
      <c r="CC61" s="7" t="b">
        <f>IF(BZ$61=BV61,CB$8*(CA61*BX61))</f>
        <v>0</v>
      </c>
      <c r="CD61" s="7">
        <f>CB61-CC61</f>
        <v>0</v>
      </c>
      <c r="CE61" s="2"/>
      <c r="CF61" s="2"/>
      <c r="CG61" s="2"/>
    </row>
    <row r="62" spans="6:85" hidden="1">
      <c r="F62" s="2"/>
      <c r="G62" s="2"/>
      <c r="H62" s="2"/>
      <c r="I62" s="2"/>
      <c r="J62" s="2"/>
      <c r="K62" s="2"/>
      <c r="L62" s="2"/>
      <c r="M62" s="2"/>
      <c r="N62" s="2"/>
      <c r="O62" s="2"/>
      <c r="P62" s="2"/>
      <c r="Q62" s="2"/>
      <c r="R62" s="2"/>
      <c r="S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W62" s="2"/>
      <c r="AX62" s="2"/>
      <c r="AY62" s="2"/>
      <c r="AZ62" s="2"/>
      <c r="BA62" s="2"/>
      <c r="BB62" s="2"/>
      <c r="BC62" s="2"/>
      <c r="BD62" s="2"/>
      <c r="BE62" s="2"/>
      <c r="BF62" s="2"/>
      <c r="BG62" s="2"/>
      <c r="BH62" s="2"/>
      <c r="BK62" s="2"/>
      <c r="BL62" s="2"/>
      <c r="BM62" s="2"/>
      <c r="BN62" s="2"/>
      <c r="BO62" s="2"/>
      <c r="BP62" s="2"/>
      <c r="BQ62" s="2"/>
      <c r="BR62" s="2"/>
      <c r="BS62" s="2"/>
      <c r="BT62" s="2"/>
      <c r="BU62" s="2"/>
      <c r="BV62" s="2"/>
      <c r="BW62" s="2"/>
      <c r="BX62" s="2"/>
      <c r="BY62" s="2"/>
      <c r="BZ62" s="2"/>
      <c r="CA62" s="2"/>
      <c r="CB62" s="2"/>
      <c r="CC62" s="2"/>
      <c r="CD62" s="2"/>
      <c r="CE62" s="2"/>
      <c r="CF62" s="2"/>
      <c r="CG62" s="2"/>
    </row>
    <row r="63" spans="6:85" hidden="1">
      <c r="F63" s="2"/>
      <c r="G63" s="2"/>
      <c r="H63" s="2"/>
      <c r="I63" s="2"/>
      <c r="J63" s="2"/>
      <c r="K63" s="2"/>
      <c r="L63" s="2"/>
      <c r="M63" s="2"/>
      <c r="N63" s="2"/>
      <c r="O63" s="2"/>
      <c r="P63" s="2"/>
      <c r="Q63" s="2"/>
      <c r="R63" s="2"/>
      <c r="S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W63" s="2"/>
      <c r="AX63" s="2"/>
      <c r="AY63" s="2"/>
      <c r="AZ63" s="2"/>
      <c r="BA63" s="2"/>
      <c r="BB63" s="2"/>
      <c r="BC63" s="2"/>
      <c r="BD63" s="2"/>
      <c r="BE63" s="2"/>
      <c r="BF63" s="2"/>
      <c r="BG63" s="2"/>
      <c r="BH63" s="2"/>
      <c r="BK63" s="2"/>
      <c r="BL63" s="2"/>
      <c r="BM63" s="2"/>
      <c r="BN63" s="2"/>
      <c r="BO63" s="2"/>
      <c r="BP63" s="2"/>
      <c r="BQ63" s="2"/>
      <c r="BR63" s="2"/>
      <c r="BS63" s="2"/>
      <c r="BT63" s="2"/>
      <c r="BU63" s="2"/>
      <c r="BV63" s="2"/>
      <c r="BW63" s="2"/>
      <c r="BX63" s="2"/>
      <c r="BY63" s="2"/>
      <c r="BZ63" s="2"/>
      <c r="CA63" s="2"/>
      <c r="CB63" s="2"/>
      <c r="CC63" s="2"/>
      <c r="CD63" s="2"/>
      <c r="CE63" s="2"/>
      <c r="CF63" s="2"/>
      <c r="CG63" s="2"/>
    </row>
    <row r="64" spans="6:85" hidden="1">
      <c r="F64" s="2"/>
      <c r="G64" s="2"/>
      <c r="H64" s="2" t="s">
        <v>54</v>
      </c>
      <c r="I64" s="2"/>
      <c r="J64" s="2"/>
      <c r="K64" s="2"/>
      <c r="L64" s="2"/>
      <c r="M64" s="2"/>
      <c r="N64" s="2"/>
      <c r="O64" s="2"/>
      <c r="P64" s="2"/>
      <c r="Q64" s="2"/>
      <c r="R64" s="2"/>
      <c r="S64" s="2"/>
      <c r="U64" s="2"/>
      <c r="V64" s="2"/>
      <c r="W64" s="2" t="s">
        <v>54</v>
      </c>
      <c r="X64" s="2"/>
      <c r="Y64" s="2"/>
      <c r="Z64" s="2"/>
      <c r="AA64" s="2"/>
      <c r="AB64" s="2"/>
      <c r="AC64" s="2"/>
      <c r="AD64" s="2"/>
      <c r="AE64" s="2"/>
      <c r="AF64" s="2"/>
      <c r="AG64" s="2"/>
      <c r="AH64" s="2"/>
      <c r="AI64" s="2"/>
      <c r="AJ64" s="2"/>
      <c r="AK64" s="2" t="s">
        <v>54</v>
      </c>
      <c r="AL64" s="2"/>
      <c r="AM64" s="2"/>
      <c r="AN64" s="2"/>
      <c r="AO64" s="2"/>
      <c r="AP64" s="2"/>
      <c r="AQ64" s="2"/>
      <c r="AR64" s="2"/>
      <c r="AS64" s="2"/>
      <c r="AT64" s="2"/>
      <c r="AU64" s="2"/>
      <c r="AW64" s="2"/>
      <c r="AX64" s="2"/>
      <c r="AY64" s="2" t="s">
        <v>54</v>
      </c>
      <c r="AZ64" s="2"/>
      <c r="BA64" s="2"/>
      <c r="BB64" s="2"/>
      <c r="BC64" s="2"/>
      <c r="BD64" s="2"/>
      <c r="BE64" s="2"/>
      <c r="BF64" s="2"/>
      <c r="BG64" s="2"/>
      <c r="BH64" s="2"/>
      <c r="BK64" s="2"/>
      <c r="BL64" s="2"/>
      <c r="BM64" s="2" t="s">
        <v>54</v>
      </c>
      <c r="BN64" s="2"/>
      <c r="BO64" s="2"/>
      <c r="BP64" s="2"/>
      <c r="BQ64" s="2"/>
      <c r="BR64" s="2"/>
      <c r="BS64" s="2"/>
      <c r="BT64" s="2"/>
      <c r="BU64" s="2"/>
      <c r="BV64" s="2"/>
      <c r="BW64" s="2"/>
      <c r="BX64" s="2" t="s">
        <v>54</v>
      </c>
      <c r="BY64" s="2"/>
      <c r="BZ64" s="2"/>
      <c r="CA64" s="2"/>
      <c r="CB64" s="2"/>
      <c r="CC64" s="2"/>
      <c r="CD64" s="2"/>
      <c r="CE64" s="2"/>
      <c r="CF64" s="2"/>
      <c r="CG64" s="2"/>
    </row>
    <row r="65" spans="6:85" hidden="1">
      <c r="F65" s="2"/>
      <c r="G65" s="12" t="s">
        <v>56</v>
      </c>
      <c r="H65" s="12" t="s">
        <v>70</v>
      </c>
      <c r="I65" s="2" t="s">
        <v>58</v>
      </c>
      <c r="J65" s="2" t="s">
        <v>58</v>
      </c>
      <c r="K65" s="12" t="s">
        <v>59</v>
      </c>
      <c r="L65" s="2" t="s">
        <v>60</v>
      </c>
      <c r="M65" s="2" t="s">
        <v>61</v>
      </c>
      <c r="N65" s="2" t="s">
        <v>62</v>
      </c>
      <c r="O65" s="2"/>
      <c r="P65" s="2"/>
      <c r="Q65" s="2"/>
      <c r="R65" s="2"/>
      <c r="S65" s="2"/>
      <c r="U65" s="2"/>
      <c r="V65" s="12" t="s">
        <v>56</v>
      </c>
      <c r="W65" s="12" t="s">
        <v>70</v>
      </c>
      <c r="X65" s="2" t="s">
        <v>58</v>
      </c>
      <c r="Y65" s="2" t="s">
        <v>58</v>
      </c>
      <c r="Z65" s="12" t="s">
        <v>59</v>
      </c>
      <c r="AA65" s="2" t="s">
        <v>60</v>
      </c>
      <c r="AB65" s="2" t="s">
        <v>61</v>
      </c>
      <c r="AC65" s="2" t="s">
        <v>62</v>
      </c>
      <c r="AD65" s="2"/>
      <c r="AE65" s="2"/>
      <c r="AF65" s="2"/>
      <c r="AG65" s="2"/>
      <c r="AH65" s="2"/>
      <c r="AI65" s="2"/>
      <c r="AJ65" s="12" t="s">
        <v>56</v>
      </c>
      <c r="AK65" s="12" t="s">
        <v>70</v>
      </c>
      <c r="AL65" s="2" t="s">
        <v>58</v>
      </c>
      <c r="AM65" s="2" t="s">
        <v>58</v>
      </c>
      <c r="AN65" s="12" t="s">
        <v>59</v>
      </c>
      <c r="AO65" s="2" t="s">
        <v>60</v>
      </c>
      <c r="AP65" s="2" t="s">
        <v>61</v>
      </c>
      <c r="AQ65" s="2" t="s">
        <v>62</v>
      </c>
      <c r="AR65" s="2"/>
      <c r="AS65" s="2"/>
      <c r="AT65" s="2"/>
      <c r="AU65" s="2"/>
      <c r="AW65" s="2"/>
      <c r="AX65" s="12" t="s">
        <v>56</v>
      </c>
      <c r="AY65" s="12" t="s">
        <v>70</v>
      </c>
      <c r="AZ65" s="2" t="s">
        <v>58</v>
      </c>
      <c r="BA65" s="2" t="s">
        <v>58</v>
      </c>
      <c r="BB65" s="12" t="s">
        <v>59</v>
      </c>
      <c r="BC65" s="2" t="s">
        <v>60</v>
      </c>
      <c r="BD65" s="2" t="s">
        <v>61</v>
      </c>
      <c r="BE65" s="2" t="s">
        <v>62</v>
      </c>
      <c r="BF65" s="2"/>
      <c r="BG65" s="2"/>
      <c r="BH65" s="2"/>
      <c r="BK65" s="2"/>
      <c r="BL65" s="12" t="s">
        <v>56</v>
      </c>
      <c r="BM65" s="12" t="s">
        <v>70</v>
      </c>
      <c r="BN65" s="2" t="s">
        <v>58</v>
      </c>
      <c r="BO65" s="2" t="s">
        <v>58</v>
      </c>
      <c r="BP65" s="12" t="s">
        <v>59</v>
      </c>
      <c r="BQ65" s="2" t="s">
        <v>60</v>
      </c>
      <c r="BR65" s="2" t="s">
        <v>61</v>
      </c>
      <c r="BS65" s="2" t="s">
        <v>62</v>
      </c>
      <c r="BT65" s="2"/>
      <c r="BU65" s="2"/>
      <c r="BV65" s="2"/>
      <c r="BW65" s="12" t="s">
        <v>56</v>
      </c>
      <c r="BX65" s="12" t="s">
        <v>70</v>
      </c>
      <c r="BY65" s="2" t="s">
        <v>58</v>
      </c>
      <c r="BZ65" s="2" t="s">
        <v>58</v>
      </c>
      <c r="CA65" s="12" t="s">
        <v>59</v>
      </c>
      <c r="CB65" s="2" t="s">
        <v>60</v>
      </c>
      <c r="CC65" s="2" t="s">
        <v>61</v>
      </c>
      <c r="CD65" s="2" t="s">
        <v>62</v>
      </c>
      <c r="CE65" s="2"/>
      <c r="CF65" s="2"/>
      <c r="CG65" s="2"/>
    </row>
    <row r="66" spans="6:85" hidden="1">
      <c r="F66" s="2">
        <v>1</v>
      </c>
      <c r="G66" s="3" t="s">
        <v>16</v>
      </c>
      <c r="H66" s="14">
        <f>IF(I33=2, 0.4593, IF(I33=3, 0.242, IF(I33=4, 0.0926, IF(I33=5, 0.058, IF(I33=6, 0.058, IF(I33=7, 0.058, IF(I33=8, 0.058, IF(I33=9, 0.058, IF(I33=1, 0.12455,"")))))))))</f>
        <v>0.12454999999999999</v>
      </c>
      <c r="I66" s="3">
        <f>IF((J$8=G66),F66,"")</f>
        <v>1</v>
      </c>
      <c r="J66" s="3">
        <f>IFERROR(SMALL(I$66:I$71,F66),"")</f>
        <v>1</v>
      </c>
      <c r="K66" s="58">
        <f>IF(I33=1, 64.25, IF(I33=2, 69.333, IF(I33=3, 69.333, IF(I33=4, 69.333, IF(I33=5, 64.25, IF(I33=6,64.25, IF(I33=7,64.25, IF(I33=8, 64.25, IF(I33=9, 64.25,"")))))))))</f>
        <v>64.25</v>
      </c>
      <c r="L66" s="3">
        <f>IF(J$66=F66,J$10*H66*9320)</f>
        <v>453016149.55999994</v>
      </c>
      <c r="M66" s="3">
        <f>IF(J$66=F66,J$11*H66*9320)</f>
        <v>441106280</v>
      </c>
      <c r="N66" s="3">
        <f>(((L66-M66)/1000)*0.000001)*J6</f>
        <v>1.1909869559999942E-2</v>
      </c>
      <c r="O66" s="2" t="s">
        <v>63</v>
      </c>
      <c r="P66" s="2"/>
      <c r="Q66" s="2"/>
      <c r="R66" s="2"/>
      <c r="S66" s="2"/>
      <c r="U66" s="2">
        <v>1</v>
      </c>
      <c r="V66" s="3" t="s">
        <v>16</v>
      </c>
      <c r="W66" s="14" t="str">
        <f>IF(X33=2, 0.4593, IF(X33=3, 0.242, IF(X33=4, 0.0926, IF(X33=5, 0.058, IF(X33=6, 0.058, IF(X33=7, 0.058, IF(X33=8, 0.058, IF(X33=9, 0.058, IF(X33=1, 0.12455,"")))))))))</f>
        <v/>
      </c>
      <c r="X66" s="3" t="str">
        <f>IF((K$8=V66),U66,"")</f>
        <v/>
      </c>
      <c r="Y66" s="3" t="str">
        <f>IFERROR(SMALL(X$66:X$71,U66),"")</f>
        <v/>
      </c>
      <c r="Z66" s="58" t="str">
        <f>IF(X33=1, 64.25, IF(X33=2, 69.333, IF(X33=3, 69.333, IF(X33=4, 69.333, IF(X33=5, 64.25, IF(X33=6,64.25, IF(X33=7,64.25, IF(X33=8, 64.25, IF(X33=9, 64.25,"")))))))))</f>
        <v/>
      </c>
      <c r="AA66" s="3" t="b">
        <f>IF(Y$66=U66,K$10*W66*9320)</f>
        <v>0</v>
      </c>
      <c r="AB66" s="3" t="b">
        <f>IF(Y$66=U66,K$11*W66*9320)</f>
        <v>0</v>
      </c>
      <c r="AC66" s="3">
        <f>(((AA66-AB66)/1000)*0.000001)*K6</f>
        <v>0</v>
      </c>
      <c r="AD66" s="2" t="s">
        <v>63</v>
      </c>
      <c r="AE66" s="2"/>
      <c r="AF66" s="2"/>
      <c r="AG66" s="2"/>
      <c r="AH66" s="2"/>
      <c r="AI66" s="2">
        <v>1</v>
      </c>
      <c r="AJ66" s="3" t="s">
        <v>16</v>
      </c>
      <c r="AK66" s="14" t="str">
        <f>IF(AL32=2, 0.4593, IF(AL32=3, 0.242, IF(AL32=4, 0.0926, IF(AL32=5, 0.058, IF(AL32=6, 0.058, IF(AL32=7, 0.058, IF(AL32=8, 0.058, IF(AL32=9, 0.058, IF(AL32=1, 0.12455,"")))))))))</f>
        <v/>
      </c>
      <c r="AL66" s="3" t="str">
        <f>IF((L$8=AJ66),AI66,"")</f>
        <v/>
      </c>
      <c r="AM66" s="3" t="str">
        <f>IFERROR(SMALL(AL$66:AL$71,AI66),"")</f>
        <v/>
      </c>
      <c r="AN66" s="58" t="str">
        <f>IF(AL32=1, 64.25, IF(AL32=2, 69.333, IF(AL32=3, 69.333, IF(AL32=4, 69.333, IF(AL32=5, 64.25, IF(AL32=6,64.25, IF(AL32=7,64.25, IF(AL32=8, 64.25, IF(AL32=9, 64.25,"")))))))))</f>
        <v/>
      </c>
      <c r="AO66" s="3" t="b">
        <f>IF(AM$66=AI66,L$10*AK66*9320)</f>
        <v>0</v>
      </c>
      <c r="AP66" s="3" t="b">
        <f>IF(AM$66=AI66,L$11*AK66*9320)</f>
        <v>0</v>
      </c>
      <c r="AQ66" s="3">
        <f>(((AO66-AP66)/1000)*0.000001)*L6</f>
        <v>0</v>
      </c>
      <c r="AR66" s="2" t="s">
        <v>63</v>
      </c>
      <c r="AS66" s="2"/>
      <c r="AT66" s="2"/>
      <c r="AU66" s="2"/>
      <c r="AW66" s="2">
        <v>1</v>
      </c>
      <c r="AX66" s="3" t="s">
        <v>16</v>
      </c>
      <c r="AY66" s="14" t="str">
        <f>IF(AZ32=2, 0.4593, IF(AZ32=3, 0.242, IF(AZ32=4, 0.0926, IF(AZ32=5, 0.058, IF(AZ32=6, 0.058, IF(AZ32=7, 0.058, IF(AZ32=8, 0.058, IF(AZ32=9, 0.058, IF(AZ32=1, 0.12455,"")))))))))</f>
        <v/>
      </c>
      <c r="AZ66" s="3" t="str">
        <f>IF((M$8=AX66),AW66,"")</f>
        <v/>
      </c>
      <c r="BA66" s="3" t="str">
        <f>IFERROR(SMALL(AZ$66:AZ$71,AW66),"")</f>
        <v/>
      </c>
      <c r="BB66" s="58" t="str">
        <f>IF(AZ32=1, 64.25, IF(AZ32=2, 69.333, IF(AZ32=3, 69.333, IF(AZ32=4, 69.333, IF(AZ32=5, 64.25, IF(AZ32=6,64.25, IF(AZ32=7,64.25, IF(AZ32=8, 64.25, IF(AZ32=9, 64.25,"")))))))))</f>
        <v/>
      </c>
      <c r="BC66" s="3" t="b">
        <f>IF(BA$66=AW66,M$10*AY66*9320)</f>
        <v>0</v>
      </c>
      <c r="BD66" s="3" t="b">
        <f>IF(BA$66=AW66,M$11*AY66*9320)</f>
        <v>0</v>
      </c>
      <c r="BE66" s="3">
        <f>(((BC66-BD66)/1000)*0.000001)*M6</f>
        <v>0</v>
      </c>
      <c r="BF66" s="2" t="s">
        <v>63</v>
      </c>
      <c r="BG66" s="2"/>
      <c r="BH66" s="2"/>
      <c r="BK66" s="2">
        <v>1</v>
      </c>
      <c r="BL66" s="3" t="s">
        <v>16</v>
      </c>
      <c r="BM66" s="14" t="str">
        <f>IF(BN31=2, 0.4593, IF(BN31=3, 0.242, IF(BN31=4, 0.0926, IF(BN31=5, 0.058, IF(BN31=6, 0.058, IF(BN31=7, 0.058, IF(BN31=8, 0.058, IF(BN31=9, 0.058, IF(BN31=1, 0.12455,"")))))))))</f>
        <v/>
      </c>
      <c r="BN66" s="3" t="str">
        <f>IF((N$8=BL66),BK66,"")</f>
        <v/>
      </c>
      <c r="BO66" s="3" t="str">
        <f>IFERROR(SMALL(BN$66:BN$71,BK66),"")</f>
        <v/>
      </c>
      <c r="BP66" s="58" t="str">
        <f>IF(BN31=1, 64.25, IF(BN31=2, 69.333, IF(BN31=3, 69.333, IF(BN31=4, 69.333, IF(BN31=5, 64.25, IF(BN31=6,64.25, IF(BN31=7,64.25, IF(BN31=8, 64.25, IF(BN31=9, 64.25,"")))))))))</f>
        <v/>
      </c>
      <c r="BQ66" s="3" t="b">
        <f>IF(BO$66=BK66,N$10*BM66*9320)</f>
        <v>0</v>
      </c>
      <c r="BR66" s="3" t="b">
        <f>IF(BO$66=BK66,N$11*BM66*9320)</f>
        <v>0</v>
      </c>
      <c r="BS66" s="3">
        <f>(((BQ66-BR66)/1000)*0.000001)*N6</f>
        <v>0</v>
      </c>
      <c r="BT66" s="2" t="s">
        <v>63</v>
      </c>
      <c r="BU66" s="2"/>
      <c r="BV66" s="2">
        <v>1</v>
      </c>
      <c r="BW66" s="3" t="s">
        <v>16</v>
      </c>
      <c r="BX66" s="14" t="str">
        <f>IF(BY31=2, 0.4593, IF(BY31=3, 0.242, IF(BY31=4, 0.0926, IF(BY31=5, 0.058, IF(BY31=6, 0.058, IF(BY31=7, 0.058, IF(BY31=8, 0.058, IF(BY31=9, 0.058, IF(BY31=1, 0.12455,"")))))))))</f>
        <v/>
      </c>
      <c r="BY66" s="3" t="str">
        <f>IF((O$8=BW66),BV66,"")</f>
        <v/>
      </c>
      <c r="BZ66" s="3" t="str">
        <f>IFERROR(SMALL(BY$66:BY$71,BV66),"")</f>
        <v/>
      </c>
      <c r="CA66" s="58" t="str">
        <f>IF(BY31=1, 64.25, IF(BY31=2, 69.333, IF(BY31=3, 69.333, IF(BY31=4, 69.333, IF(BY31=5, 64.25, IF(BY31=6,64.25, IF(BY31=7,64.25, IF(BY31=8, 64.25, IF(BY31=9, 64.25,"")))))))))</f>
        <v/>
      </c>
      <c r="CB66" s="3" t="b">
        <f>IF(BZ$66=BV66,O$10*BX66*9320)</f>
        <v>0</v>
      </c>
      <c r="CC66" s="54" t="b">
        <f>IF(BZ$66=BV66,O$11*BX66*9320)</f>
        <v>0</v>
      </c>
      <c r="CD66" s="3">
        <f>(((CB66-CC66)/1000)*0.000001)*O6</f>
        <v>0</v>
      </c>
      <c r="CE66" s="2" t="s">
        <v>63</v>
      </c>
      <c r="CF66" s="2"/>
      <c r="CG66" s="2"/>
    </row>
    <row r="67" spans="6:85" hidden="1">
      <c r="F67" s="2">
        <v>2</v>
      </c>
      <c r="G67" s="3" t="s">
        <v>64</v>
      </c>
      <c r="H67" s="14">
        <f>IF(I33=2, 0.69, IF(I33=3, 0.716, IF(I33=4, 0.7715, IF(I33=5, 0.58, IF(I33=6, 0.55, IF(I33=7, 0.45, IF(I33=8, 0.35, IF(I33=9, 0.17, IF(I33=1, 0.50738,"")))))))))</f>
        <v>0.50738000000000005</v>
      </c>
      <c r="I67" s="3" t="str">
        <f>IF((J$8=G67),F67,"")</f>
        <v/>
      </c>
      <c r="J67" s="3" t="str">
        <f>IFERROR(SMALL(I$66:I$71,F67),"")</f>
        <v/>
      </c>
      <c r="K67" s="58">
        <f>IF(I33=1, 55.333, IF(I33=2, 64, IF(I33=3, 64, IF(I33=4, 64, IF(I33=5, 55.333, IF(I33=6,55.333, IF(I33=7,55.333, IF(I33=8, 55.333, IF(I33=9, 55.333,"")))))))))</f>
        <v>55.332999999999998</v>
      </c>
      <c r="L67" s="3" t="b">
        <f>IF(J$66=F67,J$10*H67*13309)</f>
        <v>0</v>
      </c>
      <c r="M67" s="3" t="b">
        <f>IF(J$66=F67,J$11*H67*13309)</f>
        <v>0</v>
      </c>
      <c r="N67" s="3">
        <f>(((L67-M67)/1000)*0.000001)*J6</f>
        <v>0</v>
      </c>
      <c r="O67" s="2" t="s">
        <v>63</v>
      </c>
      <c r="P67" s="2"/>
      <c r="Q67" s="2"/>
      <c r="R67" s="2"/>
      <c r="S67" s="2"/>
      <c r="U67" s="2">
        <v>2</v>
      </c>
      <c r="V67" s="3" t="s">
        <v>64</v>
      </c>
      <c r="W67" s="14" t="str">
        <f>IF(X33=2, 0.69, IF(X33=3, 0.716, IF(X33=4, 0.7715, IF(X33=5, 0.58, IF(X33=6, 0.55, IF(X33=7, 0.45, IF(X33=8, 0.35, IF(X33=9, 0.17, IF(X33=1, 0.50738,"")))))))))</f>
        <v/>
      </c>
      <c r="X67" s="3" t="str">
        <f>IF((K$8=V67),U67,"")</f>
        <v/>
      </c>
      <c r="Y67" s="3" t="str">
        <f>IFERROR(SMALL(X$66:X$71,U67),"")</f>
        <v/>
      </c>
      <c r="Z67" s="58" t="str">
        <f>IF(X33=1, 55.333, IF(X33=2, 64, IF(X33=3, 64, IF(X33=4, 64, IF(X33=5, 55.333, IF(X33=6,55.333, IF(X33=7,55.333, IF(X33=8, 55.333, IF(X33=9, 55.333,"")))))))))</f>
        <v/>
      </c>
      <c r="AA67" s="54" t="b">
        <f>IF(Y$66=U67,K$10*W67*13309)</f>
        <v>0</v>
      </c>
      <c r="AB67" s="54" t="b">
        <f>IF(Y$66=U67,K$11*W67*13309)</f>
        <v>0</v>
      </c>
      <c r="AC67" s="3">
        <f>(((AA67-AB67)/1000)*0.000001)*K6</f>
        <v>0</v>
      </c>
      <c r="AD67" s="2" t="s">
        <v>63</v>
      </c>
      <c r="AE67" s="2"/>
      <c r="AF67" s="2"/>
      <c r="AG67" s="2"/>
      <c r="AH67" s="2"/>
      <c r="AI67" s="2">
        <v>2</v>
      </c>
      <c r="AJ67" s="3" t="s">
        <v>64</v>
      </c>
      <c r="AK67" s="14" t="str">
        <f>IF(AL32=2, 0.69, IF(AL32=3, 0.716, IF(AL32=4, 0.7715, IF(AL32=5, 0.58, IF(AL32=6, 0.55, IF(AL32=7, 0.45, IF(AL32=8, 0.35, IF(AL32=9, 0.17, IF(AL32=1, 0.50738,"")))))))))</f>
        <v/>
      </c>
      <c r="AL67" s="3" t="str">
        <f>IF((L$8=AJ67),AI67,"")</f>
        <v/>
      </c>
      <c r="AM67" s="3" t="str">
        <f>IFERROR(SMALL(AL$66:AL$71,AI67),"")</f>
        <v/>
      </c>
      <c r="AN67" s="58" t="str">
        <f>IF(AL32=1, 55.333, IF(AL32=2, 64, IF(AL32=3, 64, IF(AL32=4, 64, IF(AL32=5, 55.333, IF(AL32=6,55.333, IF(AL32=7,55.333, IF(AL32=8, 55.333, IF(AL32=9, 55.333,"")))))))))</f>
        <v/>
      </c>
      <c r="AO67" s="3" t="b">
        <f>IF(AM$66=AI67,L$10*AK67*13309)</f>
        <v>0</v>
      </c>
      <c r="AP67" s="3" t="b">
        <f>IF(AM$66=AI67,L$11*AK67*13309)</f>
        <v>0</v>
      </c>
      <c r="AQ67" s="3">
        <f>(((AO67-AP67)/1000)*0.000001)*L6</f>
        <v>0</v>
      </c>
      <c r="AR67" s="2" t="s">
        <v>63</v>
      </c>
      <c r="AS67" s="2"/>
      <c r="AT67" s="2"/>
      <c r="AU67" s="2"/>
      <c r="AW67" s="2">
        <v>2</v>
      </c>
      <c r="AX67" s="3" t="s">
        <v>64</v>
      </c>
      <c r="AY67" s="14" t="str">
        <f>IF(AZ32=2, 0.69, IF(AZ32=3, 0.716, IF(AZ32=4, 0.7715, IF(AZ32=5, 0.58, IF(AZ32=6, 0.55, IF(AZ32=7, 0.45, IF(AZ32=8, 0.35, IF(AZ32=9, 0.17, IF(AZ32=1, 0.50738,"")))))))))</f>
        <v/>
      </c>
      <c r="AZ67" s="3" t="str">
        <f>IF((M$8=AX67),AW67,"")</f>
        <v/>
      </c>
      <c r="BA67" s="3" t="str">
        <f>IFERROR(SMALL(AZ$66:AZ$71,AW67),"")</f>
        <v/>
      </c>
      <c r="BB67" s="58" t="str">
        <f>IF(AZ32=1, 55.333, IF(AZ32=2, 64, IF(AZ32=3, 64, IF(AZ32=4, 64, IF(AZ32=5, 55.333, IF(AZ32=6,55.333, IF(AZ32=7,55.333, IF(AZ32=8, 55.333, IF(AZ32=9, 55.333,"")))))))))</f>
        <v/>
      </c>
      <c r="BC67" s="3" t="b">
        <f>IF(BA$66=AW67,M$10*AY67*13309)</f>
        <v>0</v>
      </c>
      <c r="BD67" s="3" t="b">
        <f>IF(BA$66=AW67,M$11*AY67*13309)</f>
        <v>0</v>
      </c>
      <c r="BE67" s="3">
        <f>(((BC67-BD67)/1000)*0.000001)*M6</f>
        <v>0</v>
      </c>
      <c r="BF67" s="2" t="s">
        <v>63</v>
      </c>
      <c r="BG67" s="2"/>
      <c r="BH67" s="2"/>
      <c r="BK67" s="2">
        <v>2</v>
      </c>
      <c r="BL67" s="3" t="s">
        <v>64</v>
      </c>
      <c r="BM67" s="14" t="str">
        <f>IF(BN31=2, 0.69, IF(BN31=3, 0.716, IF(BN31=4, 0.7715, IF(BN31=5, 0.58, IF(BN31=6, 0.55, IF(BN31=7, 0.45, IF(BN31=8, 0.35, IF(BN31=9, 0.17, IF(BN31=1, 0.50738,"")))))))))</f>
        <v/>
      </c>
      <c r="BN67" s="3" t="str">
        <f>IF((N$8=BL67),BK67,"")</f>
        <v/>
      </c>
      <c r="BO67" s="3" t="str">
        <f>IFERROR(SMALL(BN$66:BN$71,BK67),"")</f>
        <v/>
      </c>
      <c r="BP67" s="58" t="str">
        <f>IF(BN31=1, 55.333, IF(BN31=2, 64, IF(BN31=3, 64, IF(BN31=4, 64, IF(BN31=5, 55.333, IF(BN31=6,55.333, IF(BN31=7,55.333, IF(BN31=8, 55.333, IF(BN31=9, 55.333,"")))))))))</f>
        <v/>
      </c>
      <c r="BQ67" s="3" t="b">
        <f>IF(BO$66=BK67,N$10*BM67*13309)</f>
        <v>0</v>
      </c>
      <c r="BR67" s="3" t="b">
        <f>IF(BO$66=BK67,N$11*BM67*13309)</f>
        <v>0</v>
      </c>
      <c r="BS67" s="3">
        <f>(((BQ67-BR67)/1000)*0.000001)*N6</f>
        <v>0</v>
      </c>
      <c r="BT67" s="2" t="s">
        <v>63</v>
      </c>
      <c r="BU67" s="2"/>
      <c r="BV67" s="2">
        <v>2</v>
      </c>
      <c r="BW67" s="3" t="s">
        <v>64</v>
      </c>
      <c r="BX67" s="14" t="str">
        <f>IF(BY31=2, 0.69, IF(BY31=3, 0.716, IF(BY31=4, 0.7715, IF(BY31=5, 0.58, IF(BY31=6, 0.55, IF(BY31=7, 0.45, IF(BY31=8, 0.35, IF(BY31=9, 0.17, IF(BY31=1, 0.50738,"")))))))))</f>
        <v/>
      </c>
      <c r="BY67" s="3" t="str">
        <f>IF((O$8=BW67),BV67,"")</f>
        <v/>
      </c>
      <c r="BZ67" s="3" t="str">
        <f>IFERROR(SMALL(BY$66:BY$71,BV67),"")</f>
        <v/>
      </c>
      <c r="CA67" s="58" t="str">
        <f>IF(BY31=1, 55.333, IF(BY31=2, 64, IF(BY31=3, 64, IF(BY31=4, 64, IF(BY31=5, 55.333, IF(BY31=6,55.333, IF(BY31=7,55.333, IF(BY31=8, 55.333, IF(BY31=9, 55.333,"")))))))))</f>
        <v/>
      </c>
      <c r="CB67" s="3" t="b">
        <f>IF(BZ$66=BV67,O$10*BX67*13309)</f>
        <v>0</v>
      </c>
      <c r="CC67" s="3" t="b">
        <f>IF(BZ$66=BV67,O$11*BX67*13309)</f>
        <v>0</v>
      </c>
      <c r="CD67" s="3">
        <f>(((CB67-CC67)/1000)*0.000001)*O6</f>
        <v>0</v>
      </c>
      <c r="CE67" s="2" t="s">
        <v>63</v>
      </c>
      <c r="CF67" s="2"/>
      <c r="CG67" s="2"/>
    </row>
    <row r="68" spans="6:85" hidden="1">
      <c r="F68" s="2">
        <v>3</v>
      </c>
      <c r="G68" s="3" t="s">
        <v>65</v>
      </c>
      <c r="H68" s="3">
        <f>IF(N33=2, 0.414, IF(N33=3, 0.18, IF(N33=4, 0.09, IF(N33=5, 0.056, IF(N33=6, 0.056, IF(N33=7, 0.056, IF(N33=1, 0.142, "")))))))</f>
        <v>0.14199999999999999</v>
      </c>
      <c r="I68" s="3" t="str">
        <f>IF((J$8=G68),F68,"")</f>
        <v/>
      </c>
      <c r="J68" s="3" t="str">
        <f>IFERROR(SMALL(I$66:I$71,F68),"")</f>
        <v/>
      </c>
      <c r="K68" s="58">
        <f>57</f>
        <v>57</v>
      </c>
      <c r="L68" s="3" t="b">
        <f>IF(J$66=F68,J$10*H68*12310)</f>
        <v>0</v>
      </c>
      <c r="M68" s="3" t="b">
        <f>IF(J$66=F68,J$11*H68*12310)</f>
        <v>0</v>
      </c>
      <c r="N68" s="3">
        <f>(((L68-M68)/1000)*0.000001)*J6</f>
        <v>0</v>
      </c>
      <c r="O68" s="2" t="s">
        <v>63</v>
      </c>
      <c r="P68" s="2"/>
      <c r="Q68" s="2"/>
      <c r="R68" s="2"/>
      <c r="S68" s="2"/>
      <c r="U68" s="2">
        <v>3</v>
      </c>
      <c r="V68" s="3" t="s">
        <v>65</v>
      </c>
      <c r="W68" s="3" t="str">
        <f>IF(AC33=2, 0.414, IF(AC33=3, 0.18, IF(AC33=4, 0.09, IF(AC33=5, 0.056, IF(AC33=6, 0.056, IF(AC33=7, 0.056, IF(AC33=1, 0.142, "")))))))</f>
        <v/>
      </c>
      <c r="X68" s="3" t="str">
        <f>IF((K$8=V68),U68,"")</f>
        <v/>
      </c>
      <c r="Y68" s="3" t="str">
        <f>IFERROR(SMALL(X$66:X$71,U68),"")</f>
        <v/>
      </c>
      <c r="Z68" s="58">
        <f>57</f>
        <v>57</v>
      </c>
      <c r="AA68" s="3" t="b">
        <f>IF(Y$66=U68,K$10*W68*12310)</f>
        <v>0</v>
      </c>
      <c r="AB68" s="3" t="b">
        <f>IF(Y$66=U68,K$11*W68*12310)</f>
        <v>0</v>
      </c>
      <c r="AC68" s="3">
        <f>(((AA68-AB68)/1000)*0.000001)*K6</f>
        <v>0</v>
      </c>
      <c r="AD68" s="2" t="s">
        <v>63</v>
      </c>
      <c r="AE68" s="2"/>
      <c r="AF68" s="2"/>
      <c r="AG68" s="2"/>
      <c r="AH68" s="2"/>
      <c r="AI68" s="2">
        <v>3</v>
      </c>
      <c r="AJ68" s="3" t="s">
        <v>65</v>
      </c>
      <c r="AK68" s="3" t="str">
        <f>IF(AQ32=2, 0.414, IF(AQ32=3, 0.18, IF(AQ32=4, 0.09, IF(AQ32=5, 0.056, IF(AQ32=6, 0.056, IF(AQ32=7, 0.056, IF(AQ32=1, 0.142, "")))))))</f>
        <v/>
      </c>
      <c r="AL68" s="3" t="str">
        <f>IF((L$8=AJ68),AI68,"")</f>
        <v/>
      </c>
      <c r="AM68" s="3" t="str">
        <f>IFERROR(SMALL(AL$66:AL$71,AI68),"")</f>
        <v/>
      </c>
      <c r="AN68" s="58">
        <f>57</f>
        <v>57</v>
      </c>
      <c r="AO68" s="3" t="b">
        <f>IF(AM$66=AI68,L$10*AK68*12310)</f>
        <v>0</v>
      </c>
      <c r="AP68" s="3" t="b">
        <f>IF(AM$66=AI68,L$11*AK68*12310)</f>
        <v>0</v>
      </c>
      <c r="AQ68" s="3">
        <f>(((AO68-AP68)/1000)*0.000001)*L6</f>
        <v>0</v>
      </c>
      <c r="AR68" s="2" t="s">
        <v>63</v>
      </c>
      <c r="AS68" s="2"/>
      <c r="AT68" s="2"/>
      <c r="AU68" s="2"/>
      <c r="AW68" s="2">
        <v>3</v>
      </c>
      <c r="AX68" s="3" t="s">
        <v>65</v>
      </c>
      <c r="AY68" s="3" t="str">
        <f>IF(BE32=2, 0.414, IF(BE32=3, 0.18, IF(BE32=4, 0.09, IF(BE32=5, 0.056, IF(BE32=6, 0.056, IF(BE32=7, 0.056, IF(BE32=1, 0.142, "")))))))</f>
        <v/>
      </c>
      <c r="AZ68" s="3" t="str">
        <f>IF((M$8=AX68),AW68,"")</f>
        <v/>
      </c>
      <c r="BA68" s="3" t="str">
        <f>IFERROR(SMALL(AZ$66:AZ$71,AW68),"")</f>
        <v/>
      </c>
      <c r="BB68" s="58">
        <f>57</f>
        <v>57</v>
      </c>
      <c r="BC68" s="3" t="b">
        <f>IF(BA$66=AW68,M$10*AY68*12310)</f>
        <v>0</v>
      </c>
      <c r="BD68" s="3" t="b">
        <f>IF(BA$66=AW68,M$11*AY68*12310)</f>
        <v>0</v>
      </c>
      <c r="BE68" s="3">
        <f>(((BC68-BD68)/1000)*0.000001)*M6</f>
        <v>0</v>
      </c>
      <c r="BF68" s="2" t="s">
        <v>63</v>
      </c>
      <c r="BG68" s="2"/>
      <c r="BH68" s="2"/>
      <c r="BK68" s="2">
        <v>3</v>
      </c>
      <c r="BL68" s="3" t="s">
        <v>65</v>
      </c>
      <c r="BM68" s="3" t="str">
        <f>IF(BS31=2, 0.414, IF(BS31=3, 0.18, IF(BS31=4, 0.09, IF(BS31=5, 0.056, IF(BS31=6, 0.056, IF(BS31=7, 0.056, IF(BS31=1, 0.142, "")))))))</f>
        <v/>
      </c>
      <c r="BN68" s="3" t="str">
        <f>IF((N$8=BL68),BK68,"")</f>
        <v/>
      </c>
      <c r="BO68" s="3" t="str">
        <f>IFERROR(SMALL(BN$66:BN$71,BK68),"")</f>
        <v/>
      </c>
      <c r="BP68" s="58">
        <f>57</f>
        <v>57</v>
      </c>
      <c r="BQ68" s="3" t="b">
        <f>IF(BO$66=BK68,N$10*BM68*12310)</f>
        <v>0</v>
      </c>
      <c r="BR68" s="3" t="b">
        <f>IF(BO$66=BK68,N$11*BM68*12310)</f>
        <v>0</v>
      </c>
      <c r="BS68" s="3">
        <f>(((BQ68-BR68)/1000)*0.000001)*N6</f>
        <v>0</v>
      </c>
      <c r="BT68" s="2" t="s">
        <v>63</v>
      </c>
      <c r="BU68" s="2"/>
      <c r="BV68" s="2">
        <v>3</v>
      </c>
      <c r="BW68" s="3" t="s">
        <v>65</v>
      </c>
      <c r="BX68" s="3" t="str">
        <f>IF(CD31=2, 0.414, IF(CD31=3, 0.18, IF(CD31=4, 0.09, IF(CD31=5, 0.056, IF(CD31=6, 0.056, IF(CD31=7, 0.056, IF(CD31=1, 0.142, "")))))))</f>
        <v/>
      </c>
      <c r="BY68" s="3" t="str">
        <f>IF((O$8=BW68),BV68,"")</f>
        <v/>
      </c>
      <c r="BZ68" s="3" t="str">
        <f>IFERROR(SMALL(BY$66:BY$71,BV68),"")</f>
        <v/>
      </c>
      <c r="CA68" s="58">
        <f>57</f>
        <v>57</v>
      </c>
      <c r="CB68" s="3" t="b">
        <f>IF(BZ$66=BV68,O$10*BX68*12310)</f>
        <v>0</v>
      </c>
      <c r="CC68" s="3" t="b">
        <f>IF(BZ$66=BV68,O$11*BX68*12310)</f>
        <v>0</v>
      </c>
      <c r="CD68" s="3">
        <f>(((CB68-CC68)/1000)*0.000001)*O6</f>
        <v>0</v>
      </c>
      <c r="CE68" s="2" t="s">
        <v>63</v>
      </c>
      <c r="CF68" s="2"/>
      <c r="CG68" s="2"/>
    </row>
    <row r="69" spans="6:85" hidden="1">
      <c r="F69" s="11">
        <v>4</v>
      </c>
      <c r="G69" s="7" t="s">
        <v>66</v>
      </c>
      <c r="H69" s="7">
        <v>7.5399999999999995E-2</v>
      </c>
      <c r="I69" s="7" t="str">
        <f>IF((Q$8=G69),F69,"")</f>
        <v/>
      </c>
      <c r="J69" s="7" t="str">
        <f>IFERROR(SMALL(I$71:I$76,F69),"")</f>
        <v/>
      </c>
      <c r="K69" s="59">
        <f>39.57</f>
        <v>39.57</v>
      </c>
      <c r="L69" s="7" t="b">
        <f>IF(J$71=F69,I$8*(K69*H69))</f>
        <v>0</v>
      </c>
      <c r="M69" s="7" t="b">
        <f>IF(J$71=F69,L$8*(K69*H69))</f>
        <v>0</v>
      </c>
      <c r="N69" s="7">
        <f>L69-M69</f>
        <v>0</v>
      </c>
      <c r="O69" s="2"/>
      <c r="P69" s="2"/>
      <c r="Q69" s="2"/>
      <c r="R69" s="2"/>
      <c r="S69" s="2"/>
      <c r="U69" s="11">
        <v>4</v>
      </c>
      <c r="V69" s="7" t="s">
        <v>66</v>
      </c>
      <c r="W69" s="7">
        <v>7.5399999999999995E-2</v>
      </c>
      <c r="X69" s="7" t="str">
        <f>IF((AF$8=V69),U69,"")</f>
        <v/>
      </c>
      <c r="Y69" s="7" t="str">
        <f>IFERROR(SMALL(X$71:X$76,U69),"")</f>
        <v/>
      </c>
      <c r="Z69" s="59">
        <f>39.57</f>
        <v>39.57</v>
      </c>
      <c r="AA69" s="7" t="b">
        <f>IF(Y$71=U69,X$8*(Z69*W69))</f>
        <v>0</v>
      </c>
      <c r="AB69" s="7" t="b">
        <f>IF(Y$71=U69,AA$8*(Z69*W69))</f>
        <v>0</v>
      </c>
      <c r="AC69" s="7">
        <f>AA69-AB69</f>
        <v>0</v>
      </c>
      <c r="AD69" s="2"/>
      <c r="AE69" s="2"/>
      <c r="AF69" s="2"/>
      <c r="AG69" s="2"/>
      <c r="AH69" s="2"/>
      <c r="AI69" s="11">
        <v>4</v>
      </c>
      <c r="AJ69" s="7" t="s">
        <v>66</v>
      </c>
      <c r="AK69" s="7">
        <v>7.5399999999999995E-2</v>
      </c>
      <c r="AL69" s="7" t="str">
        <f>IF((AT$8=AJ69),AI69,"")</f>
        <v/>
      </c>
      <c r="AM69" s="7" t="str">
        <f>IFERROR(SMALL(AL$71:AL$76,AI69),"")</f>
        <v/>
      </c>
      <c r="AN69" s="59">
        <f>39.57</f>
        <v>39.57</v>
      </c>
      <c r="AO69" s="7" t="b">
        <f>IF(AM$71=AI69,AL$8*(AN69*AK69))</f>
        <v>0</v>
      </c>
      <c r="AP69" s="7" t="b">
        <f>IF(AM$71=AI69,AO$8*(AN69*AK69))</f>
        <v>0</v>
      </c>
      <c r="AQ69" s="7">
        <f>AO69-AP69</f>
        <v>0</v>
      </c>
      <c r="AR69" s="2"/>
      <c r="AS69" s="2"/>
      <c r="AT69" s="2"/>
      <c r="AU69" s="2"/>
      <c r="AW69" s="11">
        <v>4</v>
      </c>
      <c r="AX69" s="7" t="s">
        <v>66</v>
      </c>
      <c r="AY69" s="7">
        <v>7.5399999999999995E-2</v>
      </c>
      <c r="AZ69" s="7" t="str">
        <f>IF((BH$8=AX69),AW69,"")</f>
        <v/>
      </c>
      <c r="BA69" s="7" t="str">
        <f>IFERROR(SMALL(AZ$71:AZ$76,AW69),"")</f>
        <v/>
      </c>
      <c r="BB69" s="59">
        <f>39.57</f>
        <v>39.57</v>
      </c>
      <c r="BC69" s="7" t="b">
        <f>IF(BA$71=AW69,AZ$8*(BB69*AY69))</f>
        <v>0</v>
      </c>
      <c r="BD69" s="7" t="b">
        <f>IF(BA$71=AW69,BC$8*(BB69*AY69))</f>
        <v>0</v>
      </c>
      <c r="BE69" s="7">
        <f>BC69-BD69</f>
        <v>0</v>
      </c>
      <c r="BF69" s="2"/>
      <c r="BG69" s="2"/>
      <c r="BH69" s="2"/>
      <c r="BK69" s="11">
        <v>4</v>
      </c>
      <c r="BL69" s="7" t="s">
        <v>66</v>
      </c>
      <c r="BM69" s="7">
        <v>7.5399999999999995E-2</v>
      </c>
      <c r="BN69" s="7" t="str">
        <f>IF((BV$8=BL69),BK69,"")</f>
        <v/>
      </c>
      <c r="BO69" s="7" t="str">
        <f>IFERROR(SMALL(BN$71:BN$76,BK69),"")</f>
        <v/>
      </c>
      <c r="BP69" s="59">
        <f>39.57</f>
        <v>39.57</v>
      </c>
      <c r="BQ69" s="7" t="b">
        <f>IF(BO$71=BK69,BN$8*(BP69*BM69))</f>
        <v>0</v>
      </c>
      <c r="BR69" s="7" t="b">
        <f>IF(BO$71=BK69,BQ$8*(BP69*BM69))</f>
        <v>0</v>
      </c>
      <c r="BS69" s="7">
        <f>BQ69-BR69</f>
        <v>0</v>
      </c>
      <c r="BT69" s="2"/>
      <c r="BU69" s="2"/>
      <c r="BV69" s="11">
        <v>4</v>
      </c>
      <c r="BW69" s="7" t="s">
        <v>66</v>
      </c>
      <c r="BX69" s="7">
        <v>7.5399999999999995E-2</v>
      </c>
      <c r="BY69" s="7" t="str">
        <f>IF((CG$8=BW69),BV69,"")</f>
        <v/>
      </c>
      <c r="BZ69" s="7" t="str">
        <f>IFERROR(SMALL(BY$71:BY$76,BV69),"")</f>
        <v/>
      </c>
      <c r="CA69" s="59">
        <f>39.57</f>
        <v>39.57</v>
      </c>
      <c r="CB69" s="7" t="b">
        <f>IF(BZ$71=BV69,BY$8*(CA69*BX69))</f>
        <v>0</v>
      </c>
      <c r="CC69" s="7" t="b">
        <f>IF(BZ$71=BV69,CB$8*(CA69*BX69))</f>
        <v>0</v>
      </c>
      <c r="CD69" s="7">
        <f>CB69-CC69</f>
        <v>0</v>
      </c>
      <c r="CE69" s="2"/>
      <c r="CF69" s="2"/>
      <c r="CG69" s="2"/>
    </row>
    <row r="70" spans="6:85" hidden="1">
      <c r="F70" s="11">
        <v>5</v>
      </c>
      <c r="G70" s="7" t="s">
        <v>67</v>
      </c>
      <c r="H70" s="7">
        <v>3.3500000000000002E-2</v>
      </c>
      <c r="I70" s="7" t="str">
        <f>IF((Q$8=G70),F70,"")</f>
        <v/>
      </c>
      <c r="J70" s="7" t="str">
        <f>IFERROR(SMALL(I$71:I$76,F70),"")</f>
        <v/>
      </c>
      <c r="K70" s="59">
        <f>87</f>
        <v>87</v>
      </c>
      <c r="L70" s="7" t="b">
        <f>IF(J$71=F70,I$8*(K70*H70))</f>
        <v>0</v>
      </c>
      <c r="M70" s="7" t="b">
        <f>IF(J$71=F70,L$8*(K70*H70))</f>
        <v>0</v>
      </c>
      <c r="N70" s="7">
        <f>L70-M70</f>
        <v>0</v>
      </c>
      <c r="O70" s="2"/>
      <c r="P70" s="2"/>
      <c r="Q70" s="2"/>
      <c r="R70" s="2"/>
      <c r="S70" s="2"/>
      <c r="U70" s="11">
        <v>5</v>
      </c>
      <c r="V70" s="7" t="s">
        <v>67</v>
      </c>
      <c r="W70" s="7">
        <v>3.3500000000000002E-2</v>
      </c>
      <c r="X70" s="7" t="str">
        <f>IF((AF$8=V70),U70,"")</f>
        <v/>
      </c>
      <c r="Y70" s="7" t="str">
        <f>IFERROR(SMALL(X$71:X$76,U70),"")</f>
        <v/>
      </c>
      <c r="Z70" s="59">
        <f>87</f>
        <v>87</v>
      </c>
      <c r="AA70" s="7" t="b">
        <f>IF(Y$71=U70,X$8*(Z70*W70))</f>
        <v>0</v>
      </c>
      <c r="AB70" s="7" t="b">
        <f>IF(Y$71=U70,AA$8*(Z70*W70))</f>
        <v>0</v>
      </c>
      <c r="AC70" s="7">
        <f>AA70-AB70</f>
        <v>0</v>
      </c>
      <c r="AD70" s="2"/>
      <c r="AE70" s="2"/>
      <c r="AF70" s="2"/>
      <c r="AG70" s="2"/>
      <c r="AH70" s="2"/>
      <c r="AI70" s="11">
        <v>5</v>
      </c>
      <c r="AJ70" s="7" t="s">
        <v>67</v>
      </c>
      <c r="AK70" s="7">
        <v>3.3500000000000002E-2</v>
      </c>
      <c r="AL70" s="7" t="str">
        <f>IF((AT$8=AJ70),AI70,"")</f>
        <v/>
      </c>
      <c r="AM70" s="7" t="str">
        <f>IFERROR(SMALL(AL$71:AL$76,AI70),"")</f>
        <v/>
      </c>
      <c r="AN70" s="59">
        <f>87</f>
        <v>87</v>
      </c>
      <c r="AO70" s="7" t="b">
        <f>IF(AM$71=AI70,AL$8*(AN70*AK70))</f>
        <v>0</v>
      </c>
      <c r="AP70" s="7" t="b">
        <f>IF(AM$71=AI70,AO$8*(AN70*AK70))</f>
        <v>0</v>
      </c>
      <c r="AQ70" s="7">
        <f>AO70-AP70</f>
        <v>0</v>
      </c>
      <c r="AR70" s="2"/>
      <c r="AS70" s="2"/>
      <c r="AT70" s="2"/>
      <c r="AU70" s="2"/>
      <c r="AW70" s="11">
        <v>5</v>
      </c>
      <c r="AX70" s="7" t="s">
        <v>67</v>
      </c>
      <c r="AY70" s="7">
        <v>3.3500000000000002E-2</v>
      </c>
      <c r="AZ70" s="7" t="str">
        <f>IF((BH$8=AX70),AW70,"")</f>
        <v/>
      </c>
      <c r="BA70" s="7" t="str">
        <f>IFERROR(SMALL(AZ$71:AZ$76,AW70),"")</f>
        <v/>
      </c>
      <c r="BB70" s="59">
        <f>87</f>
        <v>87</v>
      </c>
      <c r="BC70" s="7" t="b">
        <f>IF(BA$71=AW70,AZ$8*(BB70*AY70))</f>
        <v>0</v>
      </c>
      <c r="BD70" s="7" t="b">
        <f>IF(BA$71=AW70,BC$8*(BB70*AY70))</f>
        <v>0</v>
      </c>
      <c r="BE70" s="7">
        <f>BC70-BD70</f>
        <v>0</v>
      </c>
      <c r="BF70" s="2"/>
      <c r="BG70" s="2"/>
      <c r="BH70" s="2"/>
      <c r="BK70" s="11">
        <v>5</v>
      </c>
      <c r="BL70" s="7" t="s">
        <v>67</v>
      </c>
      <c r="BM70" s="7">
        <v>3.3500000000000002E-2</v>
      </c>
      <c r="BN70" s="7" t="str">
        <f>IF((BV$8=BL70),BK70,"")</f>
        <v/>
      </c>
      <c r="BO70" s="7" t="str">
        <f>IFERROR(SMALL(BN$71:BN$76,BK70),"")</f>
        <v/>
      </c>
      <c r="BP70" s="59">
        <f>87</f>
        <v>87</v>
      </c>
      <c r="BQ70" s="7" t="b">
        <f>IF(BO$71=BK70,BN$8*(BP70*BM70))</f>
        <v>0</v>
      </c>
      <c r="BR70" s="7" t="b">
        <f>IF(BO$71=BK70,BQ$8*(BP70*BM70))</f>
        <v>0</v>
      </c>
      <c r="BS70" s="7">
        <f>BQ70-BR70</f>
        <v>0</v>
      </c>
      <c r="BT70" s="2"/>
      <c r="BU70" s="2"/>
      <c r="BV70" s="11">
        <v>5</v>
      </c>
      <c r="BW70" s="7" t="s">
        <v>67</v>
      </c>
      <c r="BX70" s="7">
        <v>3.3500000000000002E-2</v>
      </c>
      <c r="BY70" s="7" t="str">
        <f>IF((CG$8=BW70),BV70,"")</f>
        <v/>
      </c>
      <c r="BZ70" s="7" t="str">
        <f>IFERROR(SMALL(BY$71:BY$76,BV70),"")</f>
        <v/>
      </c>
      <c r="CA70" s="59">
        <f>87</f>
        <v>87</v>
      </c>
      <c r="CB70" s="7" t="b">
        <f>IF(BZ$71=BV70,BY$8*(CA70*BX70))</f>
        <v>0</v>
      </c>
      <c r="CC70" s="7" t="b">
        <f>IF(BZ$71=BV70,CB$8*(CA70*BX70))</f>
        <v>0</v>
      </c>
      <c r="CD70" s="7">
        <f>CB70-CC70</f>
        <v>0</v>
      </c>
      <c r="CE70" s="2"/>
      <c r="CF70" s="2"/>
      <c r="CG70" s="2"/>
    </row>
    <row r="71" spans="6:85" hidden="1">
      <c r="F71" s="11">
        <v>6</v>
      </c>
      <c r="G71" s="7" t="s">
        <v>68</v>
      </c>
      <c r="H71" s="7">
        <v>5.2999999999999999E-2</v>
      </c>
      <c r="I71" s="7" t="str">
        <f>IF((Q$8=G71),F71,"")</f>
        <v/>
      </c>
      <c r="J71" s="7" t="str">
        <f>IFERROR(SMALL(I$71:I$76,F71),"")</f>
        <v/>
      </c>
      <c r="K71" s="59">
        <f>63</f>
        <v>63</v>
      </c>
      <c r="L71" s="7" t="b">
        <f>IF(J$71=F71,I$8*(K71*H71))</f>
        <v>0</v>
      </c>
      <c r="M71" s="7" t="b">
        <f>IF(J$71=F71,L$8*(K71*H71))</f>
        <v>0</v>
      </c>
      <c r="N71" s="7">
        <f>L71-M71</f>
        <v>0</v>
      </c>
      <c r="O71" s="2"/>
      <c r="P71" s="2"/>
      <c r="Q71" s="2"/>
      <c r="R71" s="2"/>
      <c r="S71" s="2"/>
      <c r="U71" s="11">
        <v>6</v>
      </c>
      <c r="V71" s="7" t="s">
        <v>68</v>
      </c>
      <c r="W71" s="7">
        <v>5.2999999999999999E-2</v>
      </c>
      <c r="X71" s="7" t="str">
        <f>IF((AF$8=V71),U71,"")</f>
        <v/>
      </c>
      <c r="Y71" s="7" t="str">
        <f>IFERROR(SMALL(X$71:X$76,U71),"")</f>
        <v/>
      </c>
      <c r="Z71" s="59">
        <f>63</f>
        <v>63</v>
      </c>
      <c r="AA71" s="7" t="b">
        <f>IF(Y$71=U71,X$8*(Z71*W71))</f>
        <v>0</v>
      </c>
      <c r="AB71" s="7" t="b">
        <f>IF(Y$71=U71,AA$8*(Z71*W71))</f>
        <v>0</v>
      </c>
      <c r="AC71" s="7">
        <f>AA71-AB71</f>
        <v>0</v>
      </c>
      <c r="AD71" s="2"/>
      <c r="AE71" s="2"/>
      <c r="AF71" s="2"/>
      <c r="AG71" s="2"/>
      <c r="AH71" s="2"/>
      <c r="AI71" s="11">
        <v>6</v>
      </c>
      <c r="AJ71" s="7" t="s">
        <v>68</v>
      </c>
      <c r="AK71" s="7">
        <v>5.2999999999999999E-2</v>
      </c>
      <c r="AL71" s="7" t="str">
        <f>IF((AT$8=AJ71),AI71,"")</f>
        <v/>
      </c>
      <c r="AM71" s="7" t="str">
        <f>IFERROR(SMALL(AL$71:AL$76,AI71),"")</f>
        <v/>
      </c>
      <c r="AN71" s="59">
        <f>63</f>
        <v>63</v>
      </c>
      <c r="AO71" s="7" t="b">
        <f>IF(AM$71=AI71,AL$8*(AN71*AK71))</f>
        <v>0</v>
      </c>
      <c r="AP71" s="7" t="b">
        <f>IF(AM$71=AI71,AO$8*(AN71*AK71))</f>
        <v>0</v>
      </c>
      <c r="AQ71" s="7">
        <f>AO71-AP71</f>
        <v>0</v>
      </c>
      <c r="AR71" s="2"/>
      <c r="AS71" s="2"/>
      <c r="AT71" s="2"/>
      <c r="AU71" s="2"/>
      <c r="AW71" s="11">
        <v>6</v>
      </c>
      <c r="AX71" s="7" t="s">
        <v>68</v>
      </c>
      <c r="AY71" s="7">
        <v>5.2999999999999999E-2</v>
      </c>
      <c r="AZ71" s="7" t="str">
        <f>IF((BH$8=AX71),AW71,"")</f>
        <v/>
      </c>
      <c r="BA71" s="7" t="str">
        <f>IFERROR(SMALL(AZ$71:AZ$76,AW71),"")</f>
        <v/>
      </c>
      <c r="BB71" s="59">
        <f>63</f>
        <v>63</v>
      </c>
      <c r="BC71" s="7" t="b">
        <f>IF(BA$71=AW71,AZ$8*(BB71*AY71))</f>
        <v>0</v>
      </c>
      <c r="BD71" s="7" t="b">
        <f>IF(BA$71=AW71,BC$8*(BB71*AY71))</f>
        <v>0</v>
      </c>
      <c r="BE71" s="7">
        <f>BC71-BD71</f>
        <v>0</v>
      </c>
      <c r="BF71" s="2"/>
      <c r="BG71" s="2"/>
      <c r="BH71" s="2"/>
      <c r="BK71" s="11">
        <v>6</v>
      </c>
      <c r="BL71" s="7" t="s">
        <v>68</v>
      </c>
      <c r="BM71" s="7">
        <v>5.2999999999999999E-2</v>
      </c>
      <c r="BN71" s="7" t="str">
        <f>IF((BV$8=BL71),BK71,"")</f>
        <v/>
      </c>
      <c r="BO71" s="7" t="str">
        <f>IFERROR(SMALL(BN$71:BN$76,BK71),"")</f>
        <v/>
      </c>
      <c r="BP71" s="59">
        <f>63</f>
        <v>63</v>
      </c>
      <c r="BQ71" s="7" t="b">
        <f>IF(BO$71=BK71,BN$8*(BP71*BM71))</f>
        <v>0</v>
      </c>
      <c r="BR71" s="7" t="b">
        <f>IF(BO$71=BK71,BQ$8*(BP71*BM71))</f>
        <v>0</v>
      </c>
      <c r="BS71" s="7">
        <f>BQ71-BR71</f>
        <v>0</v>
      </c>
      <c r="BT71" s="2"/>
      <c r="BU71" s="2"/>
      <c r="BV71" s="11">
        <v>6</v>
      </c>
      <c r="BW71" s="7" t="s">
        <v>68</v>
      </c>
      <c r="BX71" s="7">
        <v>5.2999999999999999E-2</v>
      </c>
      <c r="BY71" s="7" t="str">
        <f>IF((CG$8=BW71),BV71,"")</f>
        <v/>
      </c>
      <c r="BZ71" s="7" t="str">
        <f>IFERROR(SMALL(BY$71:BY$76,BV71),"")</f>
        <v/>
      </c>
      <c r="CA71" s="59">
        <f>63</f>
        <v>63</v>
      </c>
      <c r="CB71" s="7" t="b">
        <f>IF(BZ$71=BV71,BY$8*(CA71*BX71))</f>
        <v>0</v>
      </c>
      <c r="CC71" s="7" t="b">
        <f>IF(BZ$71=BV71,CB$8*(CA71*BX71))</f>
        <v>0</v>
      </c>
      <c r="CD71" s="7">
        <f>CB71-CC71</f>
        <v>0</v>
      </c>
      <c r="CE71" s="2"/>
      <c r="CF71" s="2"/>
      <c r="CG71" s="2"/>
    </row>
    <row r="72" spans="6:85" hidden="1">
      <c r="F72" s="2"/>
      <c r="G72" s="2"/>
      <c r="H72" s="2"/>
      <c r="I72" s="2"/>
      <c r="J72" s="2"/>
      <c r="K72" s="2"/>
      <c r="L72" s="2"/>
      <c r="M72" s="2"/>
      <c r="N72" s="2"/>
      <c r="O72" s="2"/>
      <c r="P72" s="2"/>
      <c r="Q72" s="2"/>
      <c r="R72" s="2"/>
      <c r="S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W72" s="2"/>
      <c r="AX72" s="2"/>
      <c r="AY72" s="2"/>
      <c r="AZ72" s="2"/>
      <c r="BA72" s="2"/>
      <c r="BB72" s="2"/>
      <c r="BC72" s="2"/>
      <c r="BD72" s="2"/>
      <c r="BE72" s="2"/>
      <c r="BF72" s="2"/>
      <c r="BG72" s="2"/>
      <c r="BH72" s="2"/>
      <c r="BK72" s="2"/>
      <c r="BL72" s="2"/>
      <c r="BM72" s="2"/>
      <c r="BN72" s="2"/>
      <c r="BO72" s="2"/>
      <c r="BP72" s="2"/>
      <c r="BQ72" s="2"/>
      <c r="BR72" s="2"/>
      <c r="BS72" s="2"/>
      <c r="BT72" s="2"/>
      <c r="BU72" s="2"/>
      <c r="BV72" s="2"/>
      <c r="BW72" s="2"/>
      <c r="BX72" s="2"/>
      <c r="BY72" s="2"/>
      <c r="BZ72" s="2"/>
      <c r="CA72" s="2"/>
      <c r="CB72" s="2"/>
      <c r="CC72" s="2"/>
      <c r="CD72" s="2"/>
      <c r="CE72" s="2"/>
      <c r="CF72" s="2"/>
      <c r="CG72" s="2"/>
    </row>
    <row r="73" spans="6:85" hidden="1">
      <c r="F73" s="2"/>
      <c r="G73" s="2"/>
      <c r="H73" s="2"/>
      <c r="I73" s="2"/>
      <c r="J73" s="2"/>
      <c r="K73" s="2"/>
      <c r="L73" s="2"/>
      <c r="M73" s="2"/>
      <c r="N73" s="2"/>
      <c r="O73" s="2"/>
      <c r="P73" s="2"/>
      <c r="Q73" s="2"/>
      <c r="R73" s="2"/>
      <c r="S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W73" s="2"/>
      <c r="AX73" s="2"/>
      <c r="AY73" s="2"/>
      <c r="AZ73" s="2"/>
      <c r="BA73" s="2"/>
      <c r="BB73" s="2"/>
      <c r="BC73" s="2"/>
      <c r="BD73" s="2"/>
      <c r="BE73" s="2"/>
      <c r="BF73" s="2"/>
      <c r="BG73" s="2"/>
      <c r="BH73" s="2"/>
      <c r="BK73" s="2"/>
      <c r="BL73" s="2"/>
      <c r="BM73" s="2"/>
      <c r="BN73" s="2"/>
      <c r="BO73" s="2"/>
      <c r="BP73" s="2"/>
      <c r="BQ73" s="2"/>
      <c r="BR73" s="2"/>
      <c r="BS73" s="2"/>
      <c r="BT73" s="2"/>
      <c r="BU73" s="2"/>
      <c r="BV73" s="2"/>
      <c r="BW73" s="2"/>
      <c r="BX73" s="2"/>
      <c r="BY73" s="2"/>
      <c r="BZ73" s="2"/>
      <c r="CA73" s="2"/>
      <c r="CB73" s="2"/>
      <c r="CC73" s="2"/>
      <c r="CD73" s="2"/>
      <c r="CE73" s="2"/>
      <c r="CF73" s="2"/>
      <c r="CG73" s="2"/>
    </row>
    <row r="74" spans="6:85" hidden="1">
      <c r="F74" s="2"/>
      <c r="G74" s="2"/>
      <c r="H74" s="2" t="s">
        <v>54</v>
      </c>
      <c r="I74" s="2"/>
      <c r="J74" s="2"/>
      <c r="K74" s="2"/>
      <c r="L74" s="2"/>
      <c r="M74" s="2"/>
      <c r="N74" s="2"/>
      <c r="O74" s="2"/>
      <c r="P74" s="2"/>
      <c r="Q74" s="2"/>
      <c r="R74" s="2"/>
      <c r="S74" s="2"/>
      <c r="U74" s="2"/>
      <c r="V74" s="2"/>
      <c r="W74" s="2" t="s">
        <v>54</v>
      </c>
      <c r="X74" s="2"/>
      <c r="Y74" s="2"/>
      <c r="Z74" s="2"/>
      <c r="AA74" s="2"/>
      <c r="AB74" s="2"/>
      <c r="AC74" s="2"/>
      <c r="AD74" s="2"/>
      <c r="AE74" s="2"/>
      <c r="AF74" s="2"/>
      <c r="AG74" s="2"/>
      <c r="AH74" s="2"/>
      <c r="AI74" s="2"/>
      <c r="AJ74" s="2"/>
      <c r="AK74" s="2" t="s">
        <v>54</v>
      </c>
      <c r="AL74" s="2"/>
      <c r="AM74" s="2"/>
      <c r="AN74" s="2"/>
      <c r="AO74" s="2"/>
      <c r="AP74" s="2"/>
      <c r="AQ74" s="2"/>
      <c r="AR74" s="2"/>
      <c r="AS74" s="2"/>
      <c r="AT74" s="2"/>
      <c r="AU74" s="2"/>
      <c r="AW74" s="2"/>
      <c r="AX74" s="2"/>
      <c r="AY74" s="2" t="s">
        <v>54</v>
      </c>
      <c r="AZ74" s="2"/>
      <c r="BA74" s="2"/>
      <c r="BB74" s="2"/>
      <c r="BC74" s="2"/>
      <c r="BD74" s="2"/>
      <c r="BE74" s="2"/>
      <c r="BF74" s="2"/>
      <c r="BG74" s="2"/>
      <c r="BH74" s="2"/>
      <c r="BK74" s="2"/>
      <c r="BL74" s="2"/>
      <c r="BM74" s="2" t="s">
        <v>54</v>
      </c>
      <c r="BN74" s="2"/>
      <c r="BO74" s="2"/>
      <c r="BP74" s="2"/>
      <c r="BQ74" s="2"/>
      <c r="BR74" s="2"/>
      <c r="BS74" s="2"/>
      <c r="BT74" s="2"/>
      <c r="BU74" s="2"/>
      <c r="BV74" s="2"/>
      <c r="BW74" s="2"/>
      <c r="BX74" s="2" t="s">
        <v>54</v>
      </c>
      <c r="BY74" s="2"/>
      <c r="BZ74" s="2"/>
      <c r="CA74" s="2"/>
      <c r="CB74" s="2"/>
      <c r="CC74" s="2"/>
      <c r="CD74" s="2"/>
      <c r="CE74" s="2"/>
      <c r="CF74" s="2"/>
      <c r="CG74" s="2"/>
    </row>
    <row r="75" spans="6:85" hidden="1">
      <c r="F75" s="2"/>
      <c r="G75" s="12" t="s">
        <v>56</v>
      </c>
      <c r="H75" s="12" t="s">
        <v>71</v>
      </c>
      <c r="I75" s="2" t="s">
        <v>58</v>
      </c>
      <c r="J75" s="2" t="s">
        <v>58</v>
      </c>
      <c r="K75" s="12" t="s">
        <v>59</v>
      </c>
      <c r="L75" s="2" t="s">
        <v>60</v>
      </c>
      <c r="M75" s="2" t="s">
        <v>61</v>
      </c>
      <c r="N75" s="2" t="s">
        <v>62</v>
      </c>
      <c r="O75" s="2"/>
      <c r="P75" s="2"/>
      <c r="Q75" s="2"/>
      <c r="R75" s="2"/>
      <c r="S75" s="2"/>
      <c r="U75" s="2"/>
      <c r="V75" s="12" t="s">
        <v>56</v>
      </c>
      <c r="W75" s="12" t="s">
        <v>71</v>
      </c>
      <c r="X75" s="2" t="s">
        <v>58</v>
      </c>
      <c r="Y75" s="2" t="s">
        <v>58</v>
      </c>
      <c r="Z75" s="12" t="s">
        <v>59</v>
      </c>
      <c r="AA75" s="2" t="s">
        <v>60</v>
      </c>
      <c r="AB75" s="2" t="s">
        <v>61</v>
      </c>
      <c r="AC75" s="2" t="s">
        <v>62</v>
      </c>
      <c r="AD75" s="2"/>
      <c r="AE75" s="2"/>
      <c r="AF75" s="2"/>
      <c r="AG75" s="2"/>
      <c r="AH75" s="2"/>
      <c r="AI75" s="2"/>
      <c r="AJ75" s="12" t="s">
        <v>56</v>
      </c>
      <c r="AK75" s="12" t="s">
        <v>71</v>
      </c>
      <c r="AL75" s="2" t="s">
        <v>58</v>
      </c>
      <c r="AM75" s="2" t="s">
        <v>58</v>
      </c>
      <c r="AN75" s="12" t="s">
        <v>59</v>
      </c>
      <c r="AO75" s="2" t="s">
        <v>60</v>
      </c>
      <c r="AP75" s="2" t="s">
        <v>61</v>
      </c>
      <c r="AQ75" s="2" t="s">
        <v>62</v>
      </c>
      <c r="AR75" s="2"/>
      <c r="AS75" s="2"/>
      <c r="AT75" s="2"/>
      <c r="AU75" s="2"/>
      <c r="AW75" s="2"/>
      <c r="AX75" s="12" t="s">
        <v>56</v>
      </c>
      <c r="AY75" s="12" t="s">
        <v>71</v>
      </c>
      <c r="AZ75" s="2" t="s">
        <v>58</v>
      </c>
      <c r="BA75" s="2" t="s">
        <v>58</v>
      </c>
      <c r="BB75" s="12" t="s">
        <v>59</v>
      </c>
      <c r="BC75" s="2" t="s">
        <v>60</v>
      </c>
      <c r="BD75" s="2" t="s">
        <v>61</v>
      </c>
      <c r="BE75" s="2" t="s">
        <v>62</v>
      </c>
      <c r="BF75" s="2"/>
      <c r="BG75" s="2"/>
      <c r="BH75" s="2"/>
      <c r="BK75" s="2"/>
      <c r="BL75" s="12" t="s">
        <v>56</v>
      </c>
      <c r="BM75" s="12" t="s">
        <v>71</v>
      </c>
      <c r="BN75" s="2" t="s">
        <v>58</v>
      </c>
      <c r="BO75" s="2" t="s">
        <v>58</v>
      </c>
      <c r="BP75" s="12" t="s">
        <v>59</v>
      </c>
      <c r="BQ75" s="2" t="s">
        <v>60</v>
      </c>
      <c r="BR75" s="2" t="s">
        <v>61</v>
      </c>
      <c r="BS75" s="2" t="s">
        <v>62</v>
      </c>
      <c r="BT75" s="2"/>
      <c r="BU75" s="2"/>
      <c r="BV75" s="2"/>
      <c r="BW75" s="12" t="s">
        <v>56</v>
      </c>
      <c r="BX75" s="12" t="s">
        <v>71</v>
      </c>
      <c r="BY75" s="2" t="s">
        <v>58</v>
      </c>
      <c r="BZ75" s="2" t="s">
        <v>58</v>
      </c>
      <c r="CA75" s="12" t="s">
        <v>59</v>
      </c>
      <c r="CB75" s="2" t="s">
        <v>60</v>
      </c>
      <c r="CC75" s="2" t="s">
        <v>61</v>
      </c>
      <c r="CD75" s="2" t="s">
        <v>62</v>
      </c>
      <c r="CE75" s="2"/>
      <c r="CF75" s="2"/>
      <c r="CG75" s="2"/>
    </row>
    <row r="76" spans="6:85" hidden="1">
      <c r="F76" s="2">
        <v>1</v>
      </c>
      <c r="G76" s="3" t="s">
        <v>16</v>
      </c>
      <c r="H76" s="14">
        <f>IF(I33=2, 0.0022, IF(I33=3, 0.0022, IF(I33=4, 0.0011, IF(I33=5, 0.0011, IF(I33=6, 0.0014, IF(I33=7, 0.0014, IF(I33=8, 0.0016, IF(I33=9, 0.0016, IF(I33=1, 0.00154, "")))))))))</f>
        <v>1.5399999999999999E-3</v>
      </c>
      <c r="I76" s="3">
        <f>IF((J$8=G76),F76,"")</f>
        <v>1</v>
      </c>
      <c r="J76" s="3">
        <f>IFERROR(SMALL(I$76:I$81,F76),"")</f>
        <v>1</v>
      </c>
      <c r="K76" s="58">
        <f>IF(I33=1, 64.25, IF(I33=2, 69.333, IF(I33=3, 69.333, IF(I33=4, 69.333, IF(I33=5, 64.25, IF(I33=6,64.25, IF(I33=7,64.25, IF(I33=8, 64.25, IF(I33=9, 64.25,"")))))))))</f>
        <v>64.25</v>
      </c>
      <c r="L76" s="3">
        <f>IF(J$76=F76,J$10*H76*9320)</f>
        <v>5601323.7280000001</v>
      </c>
      <c r="M76" s="3">
        <f>IF(J$76=F76,J$11*H76*9320)</f>
        <v>5454063.9999999991</v>
      </c>
      <c r="N76" s="3">
        <f>(((L76-M76)/1000)*0.000001)*J6</f>
        <v>1.4725972800000103E-4</v>
      </c>
      <c r="O76" s="2" t="s">
        <v>63</v>
      </c>
      <c r="P76" s="2"/>
      <c r="Q76" s="2"/>
      <c r="R76" s="2"/>
      <c r="S76" s="2"/>
      <c r="U76" s="2">
        <v>1</v>
      </c>
      <c r="V76" s="3" t="s">
        <v>16</v>
      </c>
      <c r="W76" s="14" t="str">
        <f>IF(X33=2, 0.0022, IF(X33=3, 0.0022, IF(X33=4, 0.0011, IF(X33=5, 0.0011, IF(X33=6, 0.0014, IF(X33=7, 0.0014, IF(X33=8, 0.0016, IF(X33=9, 0.0016, IF(X33=1, 0.00154, "")))))))))</f>
        <v/>
      </c>
      <c r="X76" s="3" t="str">
        <f>IF((K$8=V76),U76,"")</f>
        <v/>
      </c>
      <c r="Y76" s="3" t="str">
        <f>IFERROR(SMALL(X$76:X$81,U76),"")</f>
        <v/>
      </c>
      <c r="Z76" s="58" t="str">
        <f>IF(X33=1, 64.25, IF(X33=2, 69.333, IF(X33=3, 69.333, IF(X33=4, 69.333, IF(X33=5, 64.25, IF(X33=6,64.25, IF(X33=7,64.25, IF(X33=8, 64.25, IF(X33=9, 64.25,"")))))))))</f>
        <v/>
      </c>
      <c r="AA76" s="3" t="b">
        <f>IF(Y$76=U76,K$10*W76*9320)</f>
        <v>0</v>
      </c>
      <c r="AB76" s="3" t="b">
        <f>IF(Y$76=U76,K$11*W76*9320)</f>
        <v>0</v>
      </c>
      <c r="AC76" s="3">
        <f>(((AA76-AB76)/1000)*0.000001)*K6</f>
        <v>0</v>
      </c>
      <c r="AD76" s="2" t="s">
        <v>63</v>
      </c>
      <c r="AE76" s="2"/>
      <c r="AF76" s="2"/>
      <c r="AG76" s="2"/>
      <c r="AH76" s="2"/>
      <c r="AI76" s="2">
        <v>1</v>
      </c>
      <c r="AJ76" s="3" t="s">
        <v>16</v>
      </c>
      <c r="AK76" s="14" t="str">
        <f>IF(AL32=2, 0.0022, IF(AL32=3, 0.0022, IF(AL32=4, 0.0011, IF(AL32=5, 0.0011, IF(AL32=6, 0.0014, IF(AL32=7, 0.0014, IF(AL32=8, 0.0016, IF(AL32=9, 0.0016, IF(AL32=1, 0.00154, "")))))))))</f>
        <v/>
      </c>
      <c r="AL76" s="3" t="str">
        <f>IF((L$8=AJ76),AI76,"")</f>
        <v/>
      </c>
      <c r="AM76" s="3" t="str">
        <f>IFERROR(SMALL(AL$76:AL$81,AI76),"")</f>
        <v/>
      </c>
      <c r="AN76" s="58" t="str">
        <f>IF(AL32=1, 64.25, IF(AL32=2, 69.333, IF(AL32=3, 69.333, IF(AL32=4, 69.333, IF(AL32=5, 64.25, IF(AL32=6,64.25, IF(AL32=7,64.25, IF(AL32=8, 64.25, IF(AL32=9, 64.25,"")))))))))</f>
        <v/>
      </c>
      <c r="AO76" s="3" t="b">
        <f>IF(AM$76=AI76,L$10*AK76*9320)</f>
        <v>0</v>
      </c>
      <c r="AP76" s="3" t="b">
        <f>IF(AM$76=AI76,L$11*AK76*9320)</f>
        <v>0</v>
      </c>
      <c r="AQ76" s="3">
        <f>(((AO76-AP76)/1000)*0.000001)*L6</f>
        <v>0</v>
      </c>
      <c r="AR76" s="2" t="s">
        <v>63</v>
      </c>
      <c r="AS76" s="2"/>
      <c r="AT76" s="2"/>
      <c r="AU76" s="2"/>
      <c r="AW76" s="2">
        <v>1</v>
      </c>
      <c r="AX76" s="3" t="s">
        <v>16</v>
      </c>
      <c r="AY76" s="14" t="str">
        <f>IF(AZ32=2, 0.0022, IF(AZ32=3, 0.0022, IF(AZ32=4, 0.0011, IF(AZ32=5, 0.0011, IF(AZ32=6, 0.0014, IF(AZ32=7, 0.0014, IF(AZ32=8, 0.0016, IF(AZ32=9, 0.0016, IF(AZ32=1, 0.00154, "")))))))))</f>
        <v/>
      </c>
      <c r="AZ76" s="3" t="str">
        <f>IF((M$8=AX76),AW76,"")</f>
        <v/>
      </c>
      <c r="BA76" s="3" t="str">
        <f>IFERROR(SMALL(AZ$76:AZ$81,AW76),"")</f>
        <v/>
      </c>
      <c r="BB76" s="58" t="str">
        <f>IF(AZ32=1, 64.25, IF(AZ32=2, 69.333, IF(AZ32=3, 69.333, IF(AZ32=4, 69.333, IF(AZ32=5, 64.25, IF(AZ32=6,64.25, IF(AZ32=7,64.25, IF(AZ32=8, 64.25, IF(AZ32=9, 64.25,"")))))))))</f>
        <v/>
      </c>
      <c r="BC76" s="3" t="b">
        <f>IF(BA$76=AW76,M$10*AY76*9320)</f>
        <v>0</v>
      </c>
      <c r="BD76" s="3" t="b">
        <f>IF(BA$76=AW76,M$11*AY76*9320)</f>
        <v>0</v>
      </c>
      <c r="BE76" s="40">
        <f>(((BC76-BD76)/1000)*0.000001)*M6</f>
        <v>0</v>
      </c>
      <c r="BF76" s="2" t="s">
        <v>63</v>
      </c>
      <c r="BG76" s="2"/>
      <c r="BH76" s="2"/>
      <c r="BK76" s="2">
        <v>1</v>
      </c>
      <c r="BL76" s="3" t="s">
        <v>16</v>
      </c>
      <c r="BM76" s="14" t="str">
        <f>IF(BN31=2, 0.0022, IF(BN31=3, 0.0022, IF(BN31=4, 0.0011, IF(BN31=5, 0.0011, IF(BN31=6, 0.0014, IF(BN31=7, 0.0014, IF(BN31=8, 0.0016, IF(BN31=9, 0.0016, IF(BN31=1, 0.00154, "")))))))))</f>
        <v/>
      </c>
      <c r="BN76" s="3" t="str">
        <f>IF((N$8=BL76),BK76,"")</f>
        <v/>
      </c>
      <c r="BO76" s="3" t="str">
        <f>IFERROR(SMALL(BN$76:BN$81,BK76),"")</f>
        <v/>
      </c>
      <c r="BP76" s="58" t="str">
        <f>IF(BN31=1, 64.25, IF(BN31=2, 69.333, IF(BN31=3, 69.333, IF(BN31=4, 69.333, IF(BN31=5, 64.25, IF(BN31=6,64.25, IF(BN31=7,64.25, IF(BN31=8, 64.25, IF(BN31=9, 64.25,"")))))))))</f>
        <v/>
      </c>
      <c r="BQ76" s="3" t="b">
        <f>IF(BO$76=BK76,N$10*BM76*9320)</f>
        <v>0</v>
      </c>
      <c r="BR76" s="3" t="b">
        <f>IF(BO$76=BK76,N$11*BM76*9320)</f>
        <v>0</v>
      </c>
      <c r="BS76" s="3">
        <f>(((BQ76-BR76)/1000)*0.000001)*N6</f>
        <v>0</v>
      </c>
      <c r="BT76" s="2" t="s">
        <v>63</v>
      </c>
      <c r="BU76" s="2"/>
      <c r="BV76" s="2">
        <v>1</v>
      </c>
      <c r="BW76" s="3" t="s">
        <v>16</v>
      </c>
      <c r="BX76" s="14" t="str">
        <f>IF(BY31=2, 0.0022, IF(BY31=3, 0.0022, IF(BY31=4, 0.0011, IF(BY31=5, 0.0011, IF(BY31=6, 0.0014, IF(BY31=7, 0.0014, IF(BY31=8, 0.0016, IF(BY31=9, 0.0016, IF(BY31=1, 0.00154, "")))))))))</f>
        <v/>
      </c>
      <c r="BY76" s="3" t="str">
        <f>IF((O$8=BW76),BV76,"")</f>
        <v/>
      </c>
      <c r="BZ76" s="3" t="str">
        <f>IFERROR(SMALL(BY$76:BY$81,BV76),"")</f>
        <v/>
      </c>
      <c r="CA76" s="58" t="str">
        <f>IF(BY31=1, 64.25, IF(BY31=2, 69.333, IF(BY31=3, 69.333, IF(BY31=4, 69.333, IF(BY31=5, 64.25, IF(BY31=6,64.25, IF(BY31=7,64.25, IF(BY31=8, 64.25, IF(BY31=9, 64.25,"")))))))))</f>
        <v/>
      </c>
      <c r="CB76" s="3" t="b">
        <f>IF(BZ$76=BV76,O$10*BX76*9320)</f>
        <v>0</v>
      </c>
      <c r="CC76" s="3" t="b">
        <f>IF(BZ$76=BV76,O$11*BX76*9320)</f>
        <v>0</v>
      </c>
      <c r="CD76" s="3">
        <f>(((CB76-CC76)/1000)*0.000001)*O6</f>
        <v>0</v>
      </c>
      <c r="CE76" s="2" t="s">
        <v>63</v>
      </c>
      <c r="CF76" s="2"/>
      <c r="CG76" s="2"/>
    </row>
    <row r="77" spans="6:85" hidden="1">
      <c r="F77" s="2">
        <v>2</v>
      </c>
      <c r="G77" s="3" t="s">
        <v>64</v>
      </c>
      <c r="H77" s="14">
        <f>IF(I33=2, 0.0842, IF(I33=3, 0.0548, IF(I33=4, 0.0391, IF(I33=5, 0.314, IF(I33=6, 0.0021, IF(I33=7, 0.0015, IF(I33=8, 0.0015, IF(I33=9, 0.0015, IF(I33=1, 0.02239, "")))))))))</f>
        <v>2.239E-2</v>
      </c>
      <c r="I77" s="3" t="str">
        <f>IF((J$8=G77),F77,"")</f>
        <v/>
      </c>
      <c r="J77" s="3" t="str">
        <f>IFERROR(SMALL(I$76:I$81,F77),"")</f>
        <v/>
      </c>
      <c r="K77" s="58">
        <f>IF(I33=1, 55.333, IF(I33=2, 64, IF(I33=3, 64, IF(I33=4, 64, IF(I33=5, 55.333, IF(I33=6,55.333, IF(I33=7,55.333, IF(I33=8, 55.333, IF(I33=9, 55.333,"")))))))))</f>
        <v>55.332999999999998</v>
      </c>
      <c r="L77" s="3" t="b">
        <f>IF(J$76=F77,J$10*H77*13309)</f>
        <v>0</v>
      </c>
      <c r="M77" s="3" t="b">
        <f>IF(J$76=F77,J$11*H77*13309)</f>
        <v>0</v>
      </c>
      <c r="N77" s="3">
        <f>(((L77-M77)/1000)*0.000001)*J6</f>
        <v>0</v>
      </c>
      <c r="O77" s="2" t="s">
        <v>63</v>
      </c>
      <c r="P77" s="2"/>
      <c r="Q77" s="2"/>
      <c r="R77" s="2"/>
      <c r="S77" s="2"/>
      <c r="U77" s="2">
        <v>2</v>
      </c>
      <c r="V77" s="3" t="s">
        <v>64</v>
      </c>
      <c r="W77" s="14" t="str">
        <f>IF(X33=2, 0.0842, IF(X33=3, 0.0548, IF(X33=4, 0.0391, IF(X33=5, 0.314, IF(X33=6, 0.0021, IF(X33=7, 0.0015, IF(X33=8, 0.0015, IF(X33=9, 0.0015, IF(X33=1, 0.02239, "")))))))))</f>
        <v/>
      </c>
      <c r="X77" s="3" t="str">
        <f>IF((K$8=V77),U77,"")</f>
        <v/>
      </c>
      <c r="Y77" s="3" t="str">
        <f>IFERROR(SMALL(X$76:X$81,U77),"")</f>
        <v/>
      </c>
      <c r="Z77" s="58" t="str">
        <f>IF(X33=1, 55.333, IF(X33=2, 64, IF(X33=3, 64, IF(X33=4, 64, IF(X33=5, 55.333, IF(X33=6,55.333, IF(X33=7,55.333, IF(X33=8, 55.333, IF(X33=9, 55.333,"")))))))))</f>
        <v/>
      </c>
      <c r="AA77" s="54" t="b">
        <f>IF(Y$66=U77,K$10*W77*13309)</f>
        <v>0</v>
      </c>
      <c r="AB77" s="3" t="b">
        <f>IF(Y$76=U77,K$11*W77*13309)</f>
        <v>0</v>
      </c>
      <c r="AC77" s="3">
        <f>(((AA77-AB77)/1000)*0.000001)*K6</f>
        <v>0</v>
      </c>
      <c r="AD77" s="2" t="s">
        <v>63</v>
      </c>
      <c r="AE77" s="2"/>
      <c r="AF77" s="2"/>
      <c r="AG77" s="2"/>
      <c r="AH77" s="2"/>
      <c r="AI77" s="2">
        <v>2</v>
      </c>
      <c r="AJ77" s="3" t="s">
        <v>64</v>
      </c>
      <c r="AK77" s="14" t="str">
        <f>IF(AL32=2, 0.0842, IF(AL32=3, 0.0548, IF(AL32=4, 0.0391, IF(AL32=5, 0.314, IF(AL32=6, 0.0021, IF(AL32=7, 0.0015, IF(AL32=8, 0.0015, IF(AL32=9, 0.0015, IF(AL32=1, 0.02239, "")))))))))</f>
        <v/>
      </c>
      <c r="AL77" s="3" t="str">
        <f>IF((L$8=AJ77),AI77,"")</f>
        <v/>
      </c>
      <c r="AM77" s="3" t="str">
        <f>IFERROR(SMALL(AL$76:AL$81,AI77),"")</f>
        <v/>
      </c>
      <c r="AN77" s="58" t="str">
        <f>IF(AL32=1, 55.333, IF(AL32=2, 64, IF(AL32=3, 64, IF(AL32=4, 64, IF(AL32=5, 55.333, IF(AL32=6,55.333, IF(AL32=7,55.333, IF(AL32=8, 55.333, IF(AL32=9, 55.333,"")))))))))</f>
        <v/>
      </c>
      <c r="AO77" s="3" t="b">
        <f>IF(AM$76=AI77,L$10*AK77*13309)</f>
        <v>0</v>
      </c>
      <c r="AP77" s="3" t="b">
        <f>IF(AM$76=AI77,L$11*AK77*13309)</f>
        <v>0</v>
      </c>
      <c r="AQ77" s="3">
        <f>(((AO77-AP77)/1000)*0.000001)*L6</f>
        <v>0</v>
      </c>
      <c r="AR77" s="2" t="s">
        <v>63</v>
      </c>
      <c r="AS77" s="2"/>
      <c r="AT77" s="2"/>
      <c r="AU77" s="2"/>
      <c r="AW77" s="2">
        <v>2</v>
      </c>
      <c r="AX77" s="3" t="s">
        <v>64</v>
      </c>
      <c r="AY77" s="14" t="str">
        <f>IF(AZ32=2, 0.0842, IF(AZ32=3, 0.0548, IF(AZ32=4, 0.0391, IF(AZ32=5, 0.314, IF(AZ32=6, 0.0021, IF(AZ32=7, 0.0015, IF(AZ32=8, 0.0015, IF(AZ32=9, 0.0015, IF(AZ32=1, 0.02239, "")))))))))</f>
        <v/>
      </c>
      <c r="AZ77" s="3" t="str">
        <f>IF((M$8=AX77),AW77,"")</f>
        <v/>
      </c>
      <c r="BA77" s="3" t="str">
        <f>IFERROR(SMALL(AZ$76:AZ$81,AW77),"")</f>
        <v/>
      </c>
      <c r="BB77" s="58" t="str">
        <f>IF(AZ32=1, 55.333, IF(AZ32=2, 64, IF(AZ32=3, 64, IF(AZ32=4, 64, IF(AZ32=5, 55.333, IF(AZ32=6,55.333, IF(AZ32=7,55.333, IF(AZ32=8, 55.333, IF(AZ32=9, 55.333,"")))))))))</f>
        <v/>
      </c>
      <c r="BC77" s="3" t="b">
        <f>IF(BA$76=AW77,M$10*AY77*13309)</f>
        <v>0</v>
      </c>
      <c r="BD77" s="3" t="b">
        <f>IF(BA$76=AW77,M$11*AY77*13309)</f>
        <v>0</v>
      </c>
      <c r="BE77" s="3">
        <f>(((BC77-BD77)/1000)*0.000001)*M6</f>
        <v>0</v>
      </c>
      <c r="BF77" s="2" t="s">
        <v>63</v>
      </c>
      <c r="BG77" s="2"/>
      <c r="BH77" s="2"/>
      <c r="BK77" s="2">
        <v>2</v>
      </c>
      <c r="BL77" s="3" t="s">
        <v>64</v>
      </c>
      <c r="BM77" s="14" t="str">
        <f>IF(BN31=2, 0.0842, IF(BN31=3, 0.0548, IF(BN31=4, 0.0391, IF(BN31=5, 0.314, IF(BN31=6, 0.0021, IF(BN31=7, 0.0015, IF(BN31=8, 0.0015, IF(BN31=9, 0.0015, IF(BN31=1, 0.02239, "")))))))))</f>
        <v/>
      </c>
      <c r="BN77" s="3" t="str">
        <f>IF((N$8=BL77),BK77,"")</f>
        <v/>
      </c>
      <c r="BO77" s="3" t="str">
        <f>IFERROR(SMALL(BN$76:BN$81,BK77),"")</f>
        <v/>
      </c>
      <c r="BP77" s="58" t="str">
        <f>IF(BN31=1, 55.333, IF(BN31=2, 64, IF(BN31=3, 64, IF(BN31=4, 64, IF(BN31=5, 55.333, IF(BN31=6,55.333, IF(BN31=7,55.333, IF(BN31=8, 55.333, IF(BN31=9, 55.333,"")))))))))</f>
        <v/>
      </c>
      <c r="BQ77" s="3" t="b">
        <f>IF(BO$76=BK77,N$10*BM77*13309)</f>
        <v>0</v>
      </c>
      <c r="BR77" s="3" t="b">
        <f>IF(BO$76=BK77,N$11*BM77*13309)</f>
        <v>0</v>
      </c>
      <c r="BS77" s="3">
        <f>(((BQ77-BR77)/1000)*0.000001)*N6</f>
        <v>0</v>
      </c>
      <c r="BT77" s="2" t="s">
        <v>63</v>
      </c>
      <c r="BU77" s="2"/>
      <c r="BV77" s="2">
        <v>2</v>
      </c>
      <c r="BW77" s="3" t="s">
        <v>64</v>
      </c>
      <c r="BX77" s="14" t="str">
        <f>IF(BY31=2, 0.0842, IF(BY31=3, 0.0548, IF(BY31=4, 0.0391, IF(BY31=5, 0.314, IF(BY31=6, 0.0021, IF(BY31=7, 0.0015, IF(BY31=8, 0.0015, IF(BY31=9, 0.0015, IF(BY31=1, 0.02239, "")))))))))</f>
        <v/>
      </c>
      <c r="BY77" s="3" t="str">
        <f>IF((O$8=BW77),BV77,"")</f>
        <v/>
      </c>
      <c r="BZ77" s="3" t="str">
        <f>IFERROR(SMALL(BY$76:BY$81,BV77),"")</f>
        <v/>
      </c>
      <c r="CA77" s="58" t="str">
        <f>IF(BY31=1, 55.333, IF(BY31=2, 64, IF(BY31=3, 64, IF(BY31=4, 64, IF(BY31=5, 55.333, IF(BY31=6,55.333, IF(BY31=7,55.333, IF(BY31=8, 55.333, IF(BY31=9, 55.333,"")))))))))</f>
        <v/>
      </c>
      <c r="CB77" s="3" t="b">
        <f>IF(BZ$76=BV77,O$10*BX77*13309)</f>
        <v>0</v>
      </c>
      <c r="CC77" s="3" t="b">
        <f>IF(BZ$76=BV77,O$11*BX77*13309)</f>
        <v>0</v>
      </c>
      <c r="CD77" s="3">
        <f>(((CB77-CC77)/1000)*0.000001)*O6</f>
        <v>0</v>
      </c>
      <c r="CE77" s="2" t="s">
        <v>63</v>
      </c>
      <c r="CF77" s="2"/>
      <c r="CG77" s="2"/>
    </row>
    <row r="78" spans="6:85" hidden="1">
      <c r="F78" s="2">
        <v>3</v>
      </c>
      <c r="G78" s="3" t="s">
        <v>65</v>
      </c>
      <c r="H78" s="3">
        <f>IF(N33=2,0.0022,IF(N33=3,0.0022,IF(N33=4,0.0011,IF(N33=5,0.0011,IF(N33=1,0.00165, "")))))</f>
        <v>1.65E-3</v>
      </c>
      <c r="I78" s="3" t="str">
        <f>IF((J$8=G78),F78,"")</f>
        <v/>
      </c>
      <c r="J78" s="3" t="str">
        <f>IFERROR(SMALL(I$76:I$81,F78),"")</f>
        <v/>
      </c>
      <c r="K78" s="58">
        <f>57</f>
        <v>57</v>
      </c>
      <c r="L78" s="3" t="b">
        <f>IF(J$76=F78,J$10*H78*12310)</f>
        <v>0</v>
      </c>
      <c r="M78" s="3" t="b">
        <f>IF(J$76=F78,J$11*H78*12310)</f>
        <v>0</v>
      </c>
      <c r="N78" s="3">
        <f>(((L78-M78)/1000)*0.000001)*J6</f>
        <v>0</v>
      </c>
      <c r="O78" s="2" t="s">
        <v>63</v>
      </c>
      <c r="P78" s="2"/>
      <c r="Q78" s="2"/>
      <c r="R78" s="2"/>
      <c r="S78" s="2"/>
      <c r="U78" s="2">
        <v>3</v>
      </c>
      <c r="V78" s="3" t="s">
        <v>65</v>
      </c>
      <c r="W78" s="3" t="str">
        <f>IF(AC33=2,0.0022,IF(AC33=3,0.0022,IF(AC33=4,0.0011,IF(AC33=5,0.0011,IF(AC33=1,0.00165, "")))))</f>
        <v/>
      </c>
      <c r="X78" s="3" t="str">
        <f>IF((K$8=V78),U78,"")</f>
        <v/>
      </c>
      <c r="Y78" s="3" t="str">
        <f>IFERROR(SMALL(X$76:X$81,U78),"")</f>
        <v/>
      </c>
      <c r="Z78" s="58">
        <f>57</f>
        <v>57</v>
      </c>
      <c r="AA78" s="3" t="b">
        <f>IF(Y$76=U78,K$10*W78*12310)</f>
        <v>0</v>
      </c>
      <c r="AB78" s="3" t="b">
        <f>IF(Y$76=U78,K$11*W78*12310)</f>
        <v>0</v>
      </c>
      <c r="AC78" s="3">
        <f>(((AA78-AB78)/1000)*0.000001)*K6</f>
        <v>0</v>
      </c>
      <c r="AD78" s="2" t="s">
        <v>63</v>
      </c>
      <c r="AE78" s="2"/>
      <c r="AF78" s="2"/>
      <c r="AG78" s="2"/>
      <c r="AH78" s="2"/>
      <c r="AI78" s="2">
        <v>3</v>
      </c>
      <c r="AJ78" s="3" t="s">
        <v>65</v>
      </c>
      <c r="AK78" s="3" t="str">
        <f>IF(AQ32=2,0.0022,IF(AQ32=3,0.0022,IF(AQ32=4,0.0011,IF(AQ32=5,0.0011,IF(AQ32=1,0.00165, "")))))</f>
        <v/>
      </c>
      <c r="AL78" s="3" t="str">
        <f>IF((L$8=AJ78),AI78,"")</f>
        <v/>
      </c>
      <c r="AM78" s="3" t="str">
        <f>IFERROR(SMALL(AL$76:AL$81,AI78),"")</f>
        <v/>
      </c>
      <c r="AN78" s="58">
        <f>57</f>
        <v>57</v>
      </c>
      <c r="AO78" s="3" t="b">
        <f>IF(AM$76=AI78,L$10*AK78*12310)</f>
        <v>0</v>
      </c>
      <c r="AP78" s="3" t="b">
        <f>IF(AM$76=AI78,L$11*AK78*12310)</f>
        <v>0</v>
      </c>
      <c r="AQ78" s="3">
        <f>(((AO78-AP78)/1000)*0.000001)*L6</f>
        <v>0</v>
      </c>
      <c r="AR78" s="2" t="s">
        <v>63</v>
      </c>
      <c r="AS78" s="2"/>
      <c r="AT78" s="2"/>
      <c r="AU78" s="2"/>
      <c r="AW78" s="2">
        <v>3</v>
      </c>
      <c r="AX78" s="3" t="s">
        <v>65</v>
      </c>
      <c r="AY78" s="3" t="str">
        <f>IF(BE32=2,0.0022,IF(BE32=3,0.0022,IF(BE32=4,0.0011,IF(BE32=5,0.0011,IF(BE32=1,0.00165, "")))))</f>
        <v/>
      </c>
      <c r="AZ78" s="3" t="str">
        <f>IF((M$8=AX78),AW78,"")</f>
        <v/>
      </c>
      <c r="BA78" s="3" t="str">
        <f>IFERROR(SMALL(AZ$76:AZ$81,AW78),"")</f>
        <v/>
      </c>
      <c r="BB78" s="58">
        <f>57</f>
        <v>57</v>
      </c>
      <c r="BC78" s="3" t="b">
        <f>IF(BA$76=AW78,M$10*AY78*12310)</f>
        <v>0</v>
      </c>
      <c r="BD78" s="3" t="b">
        <f>IF(BA$76=AW78,M$11*AY78*12310)</f>
        <v>0</v>
      </c>
      <c r="BE78" s="3">
        <f>(((BC78-BD78)/1000)*0.000001)*M6</f>
        <v>0</v>
      </c>
      <c r="BF78" s="2" t="s">
        <v>63</v>
      </c>
      <c r="BG78" s="2"/>
      <c r="BH78" s="2"/>
      <c r="BK78" s="2">
        <v>3</v>
      </c>
      <c r="BL78" s="3" t="s">
        <v>65</v>
      </c>
      <c r="BM78" s="3" t="str">
        <f>IF(BS31=2,0.0022,IF(BS31=3,0.0022,IF(BS31=4,0.0011,IF(BS31=5,0.0011,IF(BS31=1,0.00165, "")))))</f>
        <v/>
      </c>
      <c r="BN78" s="3" t="str">
        <f>IF((N$8=BL78),BK78,"")</f>
        <v/>
      </c>
      <c r="BO78" s="3" t="str">
        <f>IFERROR(SMALL(BN$76:BN$81,BK78),"")</f>
        <v/>
      </c>
      <c r="BP78" s="58">
        <f>57</f>
        <v>57</v>
      </c>
      <c r="BQ78" s="3" t="b">
        <f>IF(BO$76=BK78,N$10*BM78*12310)</f>
        <v>0</v>
      </c>
      <c r="BR78" s="3" t="b">
        <f>IF(BO$76=BK78,N$11*BM78*12310)</f>
        <v>0</v>
      </c>
      <c r="BS78" s="3">
        <f>(((BQ78-BR78)/1000)*0.000001)*N6</f>
        <v>0</v>
      </c>
      <c r="BT78" s="2" t="s">
        <v>63</v>
      </c>
      <c r="BU78" s="2"/>
      <c r="BV78" s="2">
        <v>3</v>
      </c>
      <c r="BW78" s="3" t="s">
        <v>65</v>
      </c>
      <c r="BX78" s="3" t="str">
        <f>IF(CD31=2,0.0022,IF(CD31=3,0.0022,IF(CD31=4,0.0011,IF(CD31=5,0.0011,IF(CD31=1,0.00165, "")))))</f>
        <v/>
      </c>
      <c r="BY78" s="3" t="str">
        <f>IF((O$8=BW78),BV78,"")</f>
        <v/>
      </c>
      <c r="BZ78" s="3" t="str">
        <f>IFERROR(SMALL(BY$76:BY$81,BV78),"")</f>
        <v/>
      </c>
      <c r="CA78" s="58">
        <f>57</f>
        <v>57</v>
      </c>
      <c r="CB78" s="3" t="b">
        <f>IF(BZ$76=BV78,O$10*BX78*12310)</f>
        <v>0</v>
      </c>
      <c r="CC78" s="3" t="b">
        <f>IF(BZ$76=BV78,O$11*BX78*12310)</f>
        <v>0</v>
      </c>
      <c r="CD78" s="3">
        <f>(((CB78-CC78)/1000)*0.000001)*O6</f>
        <v>0</v>
      </c>
      <c r="CE78" s="2" t="s">
        <v>63</v>
      </c>
      <c r="CF78" s="2"/>
      <c r="CG78" s="2"/>
    </row>
    <row r="79" spans="6:85" hidden="1">
      <c r="F79" s="11">
        <v>4</v>
      </c>
      <c r="G79" s="7" t="s">
        <v>66</v>
      </c>
      <c r="H79" s="7">
        <v>1.5E-3</v>
      </c>
      <c r="I79" s="7" t="str">
        <f>IF((Q$8=G79),F79,"")</f>
        <v/>
      </c>
      <c r="J79" s="7" t="str">
        <f>IFERROR(SMALL(I$81:I$83,F79),"")</f>
        <v/>
      </c>
      <c r="K79" s="59">
        <f>39.57</f>
        <v>39.57</v>
      </c>
      <c r="L79" s="7" t="b">
        <f>IF(J$81=F79,I$8*(K79*H79))</f>
        <v>0</v>
      </c>
      <c r="M79" s="7" t="b">
        <f>IF(J$81=F79,L$8*(K79*H79))</f>
        <v>0</v>
      </c>
      <c r="N79" s="7">
        <f>L79-M79</f>
        <v>0</v>
      </c>
      <c r="O79" s="2"/>
      <c r="P79" s="2"/>
      <c r="Q79" s="2"/>
      <c r="R79" s="2"/>
      <c r="S79" s="2"/>
      <c r="U79" s="11">
        <v>4</v>
      </c>
      <c r="V79" s="7" t="s">
        <v>66</v>
      </c>
      <c r="W79" s="7">
        <v>1.5E-3</v>
      </c>
      <c r="X79" s="7" t="str">
        <f>IF((AF$8=V79),U79,"")</f>
        <v/>
      </c>
      <c r="Y79" s="7" t="str">
        <f>IFERROR(SMALL(X$81:X$83,U79),"")</f>
        <v/>
      </c>
      <c r="Z79" s="59">
        <f>39.57</f>
        <v>39.57</v>
      </c>
      <c r="AA79" s="7" t="b">
        <f>IF(Y$81=U79,X$8*(Z79*W79))</f>
        <v>0</v>
      </c>
      <c r="AB79" s="7" t="b">
        <f>IF(Y$81=U79,AA$8*(Z79*W79))</f>
        <v>0</v>
      </c>
      <c r="AC79" s="7">
        <f>AA79-AB79</f>
        <v>0</v>
      </c>
      <c r="AD79" s="2"/>
      <c r="AE79" s="2"/>
      <c r="AF79" s="2"/>
      <c r="AG79" s="2"/>
      <c r="AH79" s="2"/>
      <c r="AI79" s="11">
        <v>4</v>
      </c>
      <c r="AJ79" s="7" t="s">
        <v>66</v>
      </c>
      <c r="AK79" s="7">
        <v>1.5E-3</v>
      </c>
      <c r="AL79" s="7" t="str">
        <f>IF((AT$8=AJ79),AI79,"")</f>
        <v/>
      </c>
      <c r="AM79" s="7" t="str">
        <f>IFERROR(SMALL(AL$81:AL$83,AI79),"")</f>
        <v/>
      </c>
      <c r="AN79" s="59">
        <f>39.57</f>
        <v>39.57</v>
      </c>
      <c r="AO79" s="7" t="b">
        <f>IF(AM$81=AI79,AL$8*(AN79*AK79))</f>
        <v>0</v>
      </c>
      <c r="AP79" s="7" t="b">
        <f>IF(AM$81=AI79,AO$8*(AN79*AK79))</f>
        <v>0</v>
      </c>
      <c r="AQ79" s="7">
        <f>AO79-AP79</f>
        <v>0</v>
      </c>
      <c r="AR79" s="2"/>
      <c r="AS79" s="2"/>
      <c r="AT79" s="2"/>
      <c r="AU79" s="2"/>
      <c r="AW79" s="11">
        <v>4</v>
      </c>
      <c r="AX79" s="7" t="s">
        <v>66</v>
      </c>
      <c r="AY79" s="7">
        <v>1.5E-3</v>
      </c>
      <c r="AZ79" s="7" t="str">
        <f>IF((BH$8=AX79),AW79,"")</f>
        <v/>
      </c>
      <c r="BA79" s="7" t="str">
        <f>IFERROR(SMALL(AZ$81:AZ$83,AW79),"")</f>
        <v/>
      </c>
      <c r="BB79" s="59">
        <f>39.57</f>
        <v>39.57</v>
      </c>
      <c r="BC79" s="7" t="b">
        <f>IF(BA$81=AW79,AZ$8*(BB79*AY79))</f>
        <v>0</v>
      </c>
      <c r="BD79" s="7" t="b">
        <f>IF(BA$81=AW79,BC$8*(BB79*AY79))</f>
        <v>0</v>
      </c>
      <c r="BE79" s="7">
        <f>BC79-BD79</f>
        <v>0</v>
      </c>
      <c r="BF79" s="2"/>
      <c r="BG79" s="2"/>
      <c r="BH79" s="2"/>
      <c r="BK79" s="11">
        <v>4</v>
      </c>
      <c r="BL79" s="7" t="s">
        <v>66</v>
      </c>
      <c r="BM79" s="7">
        <v>1.5E-3</v>
      </c>
      <c r="BN79" s="7" t="str">
        <f>IF((BV$8=BL79),BK79,"")</f>
        <v/>
      </c>
      <c r="BO79" s="7" t="str">
        <f>IFERROR(SMALL(BN$81:BN$83,BK79),"")</f>
        <v/>
      </c>
      <c r="BP79" s="59">
        <f>39.57</f>
        <v>39.57</v>
      </c>
      <c r="BQ79" s="7" t="b">
        <f>IF(BO$81=BK79,BN$8*(BP79*BM79))</f>
        <v>0</v>
      </c>
      <c r="BR79" s="7" t="b">
        <f>IF(BO$81=BK79,BQ$8*(BP79*BM79))</f>
        <v>0</v>
      </c>
      <c r="BS79" s="7">
        <f>BQ79-BR79</f>
        <v>0</v>
      </c>
      <c r="BT79" s="2"/>
      <c r="BU79" s="2"/>
      <c r="BV79" s="11">
        <v>4</v>
      </c>
      <c r="BW79" s="7" t="s">
        <v>66</v>
      </c>
      <c r="BX79" s="7">
        <v>1.5E-3</v>
      </c>
      <c r="BY79" s="7" t="str">
        <f>IF((CG$8=BW79),BV79,"")</f>
        <v/>
      </c>
      <c r="BZ79" s="7" t="str">
        <f>IFERROR(SMALL(BY$81:BY$83,BV79),"")</f>
        <v/>
      </c>
      <c r="CA79" s="59">
        <f>39.57</f>
        <v>39.57</v>
      </c>
      <c r="CB79" s="7" t="b">
        <f>IF(BZ$81=BV79,BY$8*(CA79*BX79))</f>
        <v>0</v>
      </c>
      <c r="CC79" s="7" t="b">
        <f>IF(BZ$81=BV79,CB$8*(CA79*BX79))</f>
        <v>0</v>
      </c>
      <c r="CD79" s="7">
        <f>CB79-CC79</f>
        <v>0</v>
      </c>
      <c r="CE79" s="2"/>
      <c r="CF79" s="2"/>
      <c r="CG79" s="2"/>
    </row>
    <row r="80" spans="6:85" hidden="1">
      <c r="F80" s="11">
        <v>5</v>
      </c>
      <c r="G80" s="7" t="s">
        <v>67</v>
      </c>
      <c r="H80" s="7">
        <v>1.1000000000000001E-3</v>
      </c>
      <c r="I80" s="7" t="str">
        <f>IF((Q$8=G80),F80,"")</f>
        <v/>
      </c>
      <c r="J80" s="7" t="str">
        <f>IFERROR(SMALL(I$81:I$83,F80),"")</f>
        <v/>
      </c>
      <c r="K80" s="59">
        <f>87</f>
        <v>87</v>
      </c>
      <c r="L80" s="7" t="b">
        <f>IF(J$81=F80,I$8*(K80*H80))</f>
        <v>0</v>
      </c>
      <c r="M80" s="7" t="b">
        <f>IF(J$81=F80,L$8*(K80*H80))</f>
        <v>0</v>
      </c>
      <c r="N80" s="7">
        <f>L80-M80</f>
        <v>0</v>
      </c>
      <c r="O80" s="2"/>
      <c r="P80" s="2"/>
      <c r="Q80" s="2"/>
      <c r="R80" s="2"/>
      <c r="S80" s="2"/>
      <c r="U80" s="11">
        <v>5</v>
      </c>
      <c r="V80" s="7" t="s">
        <v>67</v>
      </c>
      <c r="W80" s="7">
        <v>1.1000000000000001E-3</v>
      </c>
      <c r="X80" s="7" t="str">
        <f>IF((AF$8=V80),U80,"")</f>
        <v/>
      </c>
      <c r="Y80" s="7" t="str">
        <f>IFERROR(SMALL(X$81:X$83,U80),"")</f>
        <v/>
      </c>
      <c r="Z80" s="59">
        <f>87</f>
        <v>87</v>
      </c>
      <c r="AA80" s="7" t="b">
        <f>IF(Y$81=U80,X$8*(Z80*W80))</f>
        <v>0</v>
      </c>
      <c r="AB80" s="7" t="b">
        <f>IF(Y$81=U80,AA$8*(Z80*W80))</f>
        <v>0</v>
      </c>
      <c r="AC80" s="7">
        <f>AA80-AB80</f>
        <v>0</v>
      </c>
      <c r="AD80" s="2"/>
      <c r="AE80" s="2"/>
      <c r="AF80" s="2"/>
      <c r="AG80" s="2"/>
      <c r="AH80" s="2"/>
      <c r="AI80" s="11">
        <v>5</v>
      </c>
      <c r="AJ80" s="7" t="s">
        <v>67</v>
      </c>
      <c r="AK80" s="7">
        <v>1.1000000000000001E-3</v>
      </c>
      <c r="AL80" s="7" t="str">
        <f>IF((AT$8=AJ80),AI80,"")</f>
        <v/>
      </c>
      <c r="AM80" s="7" t="str">
        <f>IFERROR(SMALL(AL$81:AL$83,AI80),"")</f>
        <v/>
      </c>
      <c r="AN80" s="59">
        <f>87</f>
        <v>87</v>
      </c>
      <c r="AO80" s="7" t="b">
        <f>IF(AM$81=AI80,AL$8*(AN80*AK80))</f>
        <v>0</v>
      </c>
      <c r="AP80" s="7" t="b">
        <f>IF(AM$81=AI80,AO$8*(AN80*AK80))</f>
        <v>0</v>
      </c>
      <c r="AQ80" s="7">
        <f>AO80-AP80</f>
        <v>0</v>
      </c>
      <c r="AR80" s="2"/>
      <c r="AS80" s="2"/>
      <c r="AT80" s="2"/>
      <c r="AU80" s="2"/>
      <c r="AW80" s="11">
        <v>5</v>
      </c>
      <c r="AX80" s="7" t="s">
        <v>67</v>
      </c>
      <c r="AY80" s="7">
        <v>1.1000000000000001E-3</v>
      </c>
      <c r="AZ80" s="7" t="str">
        <f>IF((BH$8=AX80),AW80,"")</f>
        <v/>
      </c>
      <c r="BA80" s="7" t="str">
        <f>IFERROR(SMALL(AZ$81:AZ$83,AW80),"")</f>
        <v/>
      </c>
      <c r="BB80" s="59">
        <f>87</f>
        <v>87</v>
      </c>
      <c r="BC80" s="7" t="b">
        <f>IF(BA$81=AW80,AZ$8*(BB80*AY80))</f>
        <v>0</v>
      </c>
      <c r="BD80" s="7" t="b">
        <f>IF(BA$81=AW80,BC$8*(BB80*AY80))</f>
        <v>0</v>
      </c>
      <c r="BE80" s="7">
        <f>BC80-BD80</f>
        <v>0</v>
      </c>
      <c r="BF80" s="2"/>
      <c r="BG80" s="2"/>
      <c r="BH80" s="2"/>
      <c r="BK80" s="11">
        <v>5</v>
      </c>
      <c r="BL80" s="7" t="s">
        <v>67</v>
      </c>
      <c r="BM80" s="7">
        <v>1.1000000000000001E-3</v>
      </c>
      <c r="BN80" s="7" t="str">
        <f>IF((BV$8=BL80),BK80,"")</f>
        <v/>
      </c>
      <c r="BO80" s="7" t="str">
        <f>IFERROR(SMALL(BN$81:BN$83,BK80),"")</f>
        <v/>
      </c>
      <c r="BP80" s="59">
        <f>87</f>
        <v>87</v>
      </c>
      <c r="BQ80" s="7" t="b">
        <f>IF(BO$81=BK80,BN$8*(BP80*BM80))</f>
        <v>0</v>
      </c>
      <c r="BR80" s="7" t="b">
        <f>IF(BO$81=BK80,BQ$8*(BP80*BM80))</f>
        <v>0</v>
      </c>
      <c r="BS80" s="7">
        <f>BQ80-BR80</f>
        <v>0</v>
      </c>
      <c r="BT80" s="2"/>
      <c r="BU80" s="2"/>
      <c r="BV80" s="11">
        <v>5</v>
      </c>
      <c r="BW80" s="7" t="s">
        <v>67</v>
      </c>
      <c r="BX80" s="7">
        <v>1.1000000000000001E-3</v>
      </c>
      <c r="BY80" s="7" t="str">
        <f>IF((CG$8=BW80),BV80,"")</f>
        <v/>
      </c>
      <c r="BZ80" s="7" t="str">
        <f>IFERROR(SMALL(BY$81:BY$83,BV80),"")</f>
        <v/>
      </c>
      <c r="CA80" s="59">
        <f>87</f>
        <v>87</v>
      </c>
      <c r="CB80" s="7" t="b">
        <f>IF(BZ$81=BV80,BY$8*(CA80*BX80))</f>
        <v>0</v>
      </c>
      <c r="CC80" s="7" t="b">
        <f>IF(BZ$81=BV80,CB$8*(CA80*BX80))</f>
        <v>0</v>
      </c>
      <c r="CD80" s="7">
        <f>CB80-CC80</f>
        <v>0</v>
      </c>
      <c r="CE80" s="2"/>
      <c r="CF80" s="2"/>
      <c r="CG80" s="2"/>
    </row>
    <row r="81" spans="6:85" hidden="1">
      <c r="F81" s="11">
        <v>6</v>
      </c>
      <c r="G81" s="7" t="s">
        <v>68</v>
      </c>
      <c r="H81" s="7">
        <v>1E-3</v>
      </c>
      <c r="I81" s="7" t="str">
        <f>IF((Q$8=G81),F81,"")</f>
        <v/>
      </c>
      <c r="J81" s="7" t="str">
        <f>IFERROR(SMALL(I$81:I$83,F81),"")</f>
        <v/>
      </c>
      <c r="K81" s="59">
        <f>63</f>
        <v>63</v>
      </c>
      <c r="L81" s="7" t="b">
        <f>IF(J$81=F81,I$8*(K81*H81))</f>
        <v>0</v>
      </c>
      <c r="M81" s="7" t="b">
        <f>IF(J$81=F81,L$8*(K81*H81))</f>
        <v>0</v>
      </c>
      <c r="N81" s="7">
        <f>L81-M81</f>
        <v>0</v>
      </c>
      <c r="O81" s="2"/>
      <c r="P81" s="2"/>
      <c r="Q81" s="2"/>
      <c r="R81" s="2"/>
      <c r="S81" s="2"/>
      <c r="U81" s="11">
        <v>6</v>
      </c>
      <c r="V81" s="7" t="s">
        <v>68</v>
      </c>
      <c r="W81" s="7">
        <v>1E-3</v>
      </c>
      <c r="X81" s="7" t="str">
        <f>IF((AF$8=V81),U81,"")</f>
        <v/>
      </c>
      <c r="Y81" s="7" t="str">
        <f>IFERROR(SMALL(X$81:X$83,U81),"")</f>
        <v/>
      </c>
      <c r="Z81" s="59">
        <f>63</f>
        <v>63</v>
      </c>
      <c r="AA81" s="7" t="b">
        <f>IF(Y$81=U81,X$8*(Z81*W81))</f>
        <v>0</v>
      </c>
      <c r="AB81" s="7" t="b">
        <f>IF(Y$81=U81,AA$8*(Z81*W81))</f>
        <v>0</v>
      </c>
      <c r="AC81" s="7">
        <f>AA81-AB81</f>
        <v>0</v>
      </c>
      <c r="AD81" s="2"/>
      <c r="AE81" s="2"/>
      <c r="AF81" s="2"/>
      <c r="AG81" s="2"/>
      <c r="AH81" s="2"/>
      <c r="AI81" s="11">
        <v>6</v>
      </c>
      <c r="AJ81" s="7" t="s">
        <v>68</v>
      </c>
      <c r="AK81" s="7">
        <v>1E-3</v>
      </c>
      <c r="AL81" s="7" t="str">
        <f>IF((AT$8=AJ81),AI81,"")</f>
        <v/>
      </c>
      <c r="AM81" s="7" t="str">
        <f>IFERROR(SMALL(AL$81:AL$83,AI81),"")</f>
        <v/>
      </c>
      <c r="AN81" s="59">
        <f>63</f>
        <v>63</v>
      </c>
      <c r="AO81" s="7" t="b">
        <f>IF(AM$81=AI81,AL$8*(AN81*AK81))</f>
        <v>0</v>
      </c>
      <c r="AP81" s="7" t="b">
        <f>IF(AM$81=AI81,AO$8*(AN81*AK81))</f>
        <v>0</v>
      </c>
      <c r="AQ81" s="7">
        <f>AO81-AP81</f>
        <v>0</v>
      </c>
      <c r="AR81" s="2"/>
      <c r="AS81" s="2"/>
      <c r="AT81" s="2"/>
      <c r="AU81" s="2"/>
      <c r="AW81" s="11">
        <v>6</v>
      </c>
      <c r="AX81" s="7" t="s">
        <v>68</v>
      </c>
      <c r="AY81" s="7">
        <v>1E-3</v>
      </c>
      <c r="AZ81" s="7" t="str">
        <f>IF((BH$8=AX81),AW81,"")</f>
        <v/>
      </c>
      <c r="BA81" s="7" t="str">
        <f>IFERROR(SMALL(AZ$81:AZ$83,AW81),"")</f>
        <v/>
      </c>
      <c r="BB81" s="59">
        <f>63</f>
        <v>63</v>
      </c>
      <c r="BC81" s="7" t="b">
        <f>IF(BA$81=AW81,AZ$8*(BB81*AY81))</f>
        <v>0</v>
      </c>
      <c r="BD81" s="7" t="b">
        <f>IF(BA$81=AW81,BC$8*(BB81*AY81))</f>
        <v>0</v>
      </c>
      <c r="BE81" s="7">
        <f>BC81-BD81</f>
        <v>0</v>
      </c>
      <c r="BF81" s="2"/>
      <c r="BG81" s="2"/>
      <c r="BH81" s="2"/>
      <c r="BK81" s="11">
        <v>6</v>
      </c>
      <c r="BL81" s="7" t="s">
        <v>68</v>
      </c>
      <c r="BM81" s="7">
        <v>1E-3</v>
      </c>
      <c r="BN81" s="7" t="str">
        <f>IF((BV$8=BL81),BK81,"")</f>
        <v/>
      </c>
      <c r="BO81" s="7" t="str">
        <f>IFERROR(SMALL(BN$81:BN$83,BK81),"")</f>
        <v/>
      </c>
      <c r="BP81" s="59">
        <f>63</f>
        <v>63</v>
      </c>
      <c r="BQ81" s="7" t="b">
        <f>IF(BO$81=BK81,BN$8*(BP81*BM81))</f>
        <v>0</v>
      </c>
      <c r="BR81" s="7" t="b">
        <f>IF(BO$81=BK81,BQ$8*(BP81*BM81))</f>
        <v>0</v>
      </c>
      <c r="BS81" s="7">
        <f>BQ81-BR81</f>
        <v>0</v>
      </c>
      <c r="BT81" s="2"/>
      <c r="BU81" s="2"/>
      <c r="BV81" s="11">
        <v>6</v>
      </c>
      <c r="BW81" s="7" t="s">
        <v>68</v>
      </c>
      <c r="BX81" s="7">
        <v>1E-3</v>
      </c>
      <c r="BY81" s="7" t="str">
        <f>IF((CG$8=BW81),BV81,"")</f>
        <v/>
      </c>
      <c r="BZ81" s="7" t="str">
        <f>IFERROR(SMALL(BY$81:BY$83,BV81),"")</f>
        <v/>
      </c>
      <c r="CA81" s="59">
        <f>63</f>
        <v>63</v>
      </c>
      <c r="CB81" s="7" t="b">
        <f>IF(BZ$81=BV81,BY$8*(CA81*BX81))</f>
        <v>0</v>
      </c>
      <c r="CC81" s="7" t="b">
        <f>IF(BZ$81=BV81,CB$8*(CA81*BX81))</f>
        <v>0</v>
      </c>
      <c r="CD81" s="7">
        <f>CB81-CC81</f>
        <v>0</v>
      </c>
      <c r="CE81" s="2"/>
      <c r="CF81" s="2"/>
      <c r="CG81" s="2"/>
    </row>
    <row r="82" spans="6:85" hidden="1">
      <c r="F82" s="2"/>
      <c r="G82" s="2"/>
      <c r="H82" s="2"/>
      <c r="I82" s="2"/>
      <c r="J82" s="2"/>
      <c r="K82" s="2"/>
      <c r="L82" s="2"/>
      <c r="M82" s="2"/>
      <c r="N82" s="2"/>
      <c r="O82" s="2"/>
      <c r="P82" s="2"/>
      <c r="Q82" s="2"/>
      <c r="R82" s="2"/>
      <c r="S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W82" s="2"/>
      <c r="AX82" s="2"/>
      <c r="AY82" s="2"/>
      <c r="AZ82" s="2"/>
      <c r="BA82" s="2"/>
      <c r="BB82" s="2"/>
      <c r="BC82" s="2"/>
      <c r="BD82" s="2"/>
      <c r="BE82" s="2"/>
      <c r="BF82" s="2"/>
      <c r="BG82" s="2"/>
      <c r="BH82" s="2"/>
      <c r="BK82" s="2"/>
      <c r="BL82" s="2"/>
      <c r="BM82" s="2"/>
      <c r="BN82" s="2"/>
      <c r="BO82" s="2"/>
      <c r="BP82" s="2"/>
      <c r="BQ82" s="2"/>
      <c r="BR82" s="2"/>
      <c r="BS82" s="2"/>
      <c r="BT82" s="2"/>
      <c r="BU82" s="2"/>
      <c r="BV82" s="2"/>
      <c r="BW82" s="2"/>
      <c r="BX82" s="2"/>
      <c r="BY82" s="2"/>
      <c r="BZ82" s="2"/>
      <c r="CA82" s="2"/>
      <c r="CB82" s="2"/>
      <c r="CC82" s="2"/>
      <c r="CD82" s="2"/>
      <c r="CE82" s="2"/>
      <c r="CF82" s="2"/>
      <c r="CG82" s="2"/>
    </row>
    <row r="83" spans="6:85" hidden="1">
      <c r="F83" s="2"/>
      <c r="G83" s="2"/>
      <c r="H83" s="2"/>
      <c r="I83" s="2"/>
      <c r="J83" s="2"/>
      <c r="K83" s="2"/>
      <c r="L83" s="2"/>
      <c r="M83" s="2"/>
      <c r="N83" s="2"/>
      <c r="O83" s="2"/>
      <c r="P83" s="2"/>
      <c r="Q83" s="2"/>
      <c r="R83" s="2"/>
      <c r="S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W83" s="2"/>
      <c r="AX83" s="2"/>
      <c r="AY83" s="2"/>
      <c r="AZ83" s="2"/>
      <c r="BA83" s="2"/>
      <c r="BB83" s="2"/>
      <c r="BC83" s="2"/>
      <c r="BD83" s="2"/>
      <c r="BE83" s="2"/>
      <c r="BF83" s="2"/>
      <c r="BG83" s="2"/>
      <c r="BH83" s="2"/>
      <c r="BK83" s="2"/>
      <c r="BL83" s="2"/>
      <c r="BM83" s="2"/>
      <c r="BN83" s="2"/>
      <c r="BO83" s="2"/>
      <c r="BP83" s="2"/>
      <c r="BQ83" s="2"/>
      <c r="BR83" s="2"/>
      <c r="BS83" s="2"/>
      <c r="BT83" s="2"/>
      <c r="BU83" s="2"/>
      <c r="BV83" s="2"/>
      <c r="BW83" s="2"/>
      <c r="BX83" s="2"/>
      <c r="BY83" s="2"/>
      <c r="BZ83" s="2"/>
      <c r="CA83" s="2"/>
      <c r="CB83" s="2"/>
      <c r="CC83" s="2"/>
      <c r="CD83" s="2"/>
      <c r="CE83" s="2"/>
      <c r="CF83" s="2"/>
      <c r="CG83" s="2"/>
    </row>
    <row r="84" spans="6:85" hidden="1">
      <c r="F84" s="2"/>
      <c r="G84" s="2"/>
      <c r="H84" s="2"/>
      <c r="I84" s="2"/>
      <c r="J84" s="2"/>
      <c r="K84" s="2"/>
      <c r="L84" s="2"/>
      <c r="M84" s="2"/>
      <c r="N84" s="2"/>
      <c r="O84" s="2"/>
      <c r="P84" s="2"/>
      <c r="Q84" s="2"/>
      <c r="R84" s="2"/>
      <c r="S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W84" s="2"/>
      <c r="AX84" s="2"/>
      <c r="AY84" s="2"/>
      <c r="AZ84" s="2"/>
      <c r="BA84" s="2"/>
      <c r="BB84" s="2"/>
      <c r="BC84" s="2"/>
      <c r="BD84" s="2"/>
      <c r="BE84" s="2"/>
      <c r="BF84" s="2"/>
      <c r="BG84" s="2"/>
      <c r="BH84" s="2"/>
      <c r="BK84" s="2"/>
      <c r="BL84" s="2"/>
      <c r="BM84" s="2"/>
      <c r="BN84" s="2"/>
      <c r="BO84" s="2"/>
      <c r="BP84" s="2"/>
      <c r="BQ84" s="2"/>
      <c r="BR84" s="2"/>
      <c r="BS84" s="2"/>
      <c r="BT84" s="2"/>
      <c r="BU84" s="2"/>
      <c r="BV84" s="2"/>
      <c r="BW84" s="2"/>
      <c r="BX84" s="2"/>
      <c r="BY84" s="2"/>
      <c r="BZ84" s="2"/>
      <c r="CA84" s="2"/>
      <c r="CB84" s="2"/>
      <c r="CC84" s="2"/>
      <c r="CD84" s="2"/>
      <c r="CE84" s="2"/>
      <c r="CF84" s="2"/>
      <c r="CG84" s="2"/>
    </row>
    <row r="85" spans="6:85" hidden="1">
      <c r="F85" s="2"/>
      <c r="G85" s="2"/>
      <c r="H85" s="2"/>
      <c r="I85" s="2"/>
      <c r="J85" s="2"/>
      <c r="K85" s="2"/>
      <c r="L85" s="2"/>
      <c r="M85" s="2"/>
      <c r="N85" s="2"/>
      <c r="O85" s="2"/>
      <c r="P85" s="2"/>
      <c r="Q85" s="2"/>
      <c r="R85" s="2"/>
      <c r="S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W85" s="2"/>
      <c r="AX85" s="2"/>
      <c r="AY85" s="2"/>
      <c r="AZ85" s="2"/>
      <c r="BA85" s="2"/>
      <c r="BB85" s="2"/>
      <c r="BC85" s="2"/>
      <c r="BD85" s="2"/>
      <c r="BE85" s="2"/>
      <c r="BF85" s="2"/>
      <c r="BG85" s="2"/>
      <c r="BH85" s="2"/>
      <c r="BK85" s="2"/>
      <c r="BL85" s="2"/>
      <c r="BM85" s="2"/>
      <c r="BN85" s="2"/>
      <c r="BO85" s="2"/>
      <c r="BP85" s="2"/>
      <c r="BQ85" s="2"/>
      <c r="BR85" s="2"/>
      <c r="BS85" s="2"/>
      <c r="BT85" s="2"/>
      <c r="BU85" s="2"/>
      <c r="BV85" s="2"/>
      <c r="BW85" s="2"/>
      <c r="BX85" s="2"/>
      <c r="BY85" s="2"/>
      <c r="BZ85" s="2"/>
      <c r="CA85" s="2"/>
      <c r="CB85" s="2"/>
      <c r="CC85" s="2"/>
      <c r="CD85" s="2"/>
      <c r="CE85" s="2"/>
      <c r="CF85" s="2"/>
      <c r="CG85" s="2"/>
    </row>
    <row r="86" spans="6:85" hidden="1">
      <c r="F86" s="2"/>
      <c r="G86" s="16" t="s">
        <v>72</v>
      </c>
      <c r="H86" s="16"/>
      <c r="I86" s="16"/>
      <c r="J86" s="2"/>
      <c r="K86" s="2"/>
      <c r="L86" s="2"/>
      <c r="M86" s="2"/>
      <c r="N86" s="2"/>
      <c r="O86" s="2"/>
      <c r="P86" s="2"/>
      <c r="Q86" s="2"/>
      <c r="R86" s="2"/>
      <c r="S86" s="2"/>
      <c r="U86" s="2"/>
      <c r="V86" s="2" t="s">
        <v>72</v>
      </c>
      <c r="W86" s="2"/>
      <c r="X86" s="2"/>
      <c r="Y86" s="2"/>
      <c r="Z86" s="2"/>
      <c r="AA86" s="2"/>
      <c r="AB86" s="2"/>
      <c r="AC86" s="2"/>
      <c r="AD86" s="2"/>
      <c r="AE86" s="2"/>
      <c r="AF86" s="2"/>
      <c r="AG86" s="2"/>
      <c r="AH86" s="2"/>
      <c r="AI86" s="2"/>
      <c r="AJ86" s="2" t="s">
        <v>72</v>
      </c>
      <c r="AK86" s="2"/>
      <c r="AL86" s="2"/>
      <c r="AM86" s="2"/>
      <c r="AN86" s="2"/>
      <c r="AO86" s="2"/>
      <c r="AP86" s="2"/>
      <c r="AQ86" s="2"/>
      <c r="AR86" s="2"/>
      <c r="AS86" s="2"/>
      <c r="AT86" s="2"/>
      <c r="AU86" s="2"/>
      <c r="AW86" s="2"/>
      <c r="AX86" s="2" t="s">
        <v>72</v>
      </c>
      <c r="AY86" s="2"/>
      <c r="AZ86" s="2"/>
      <c r="BA86" s="2"/>
      <c r="BB86" s="2"/>
      <c r="BC86" s="2"/>
      <c r="BD86" s="2"/>
      <c r="BE86" s="2"/>
      <c r="BF86" s="2"/>
      <c r="BG86" s="2"/>
      <c r="BH86" s="2"/>
      <c r="BK86" s="2"/>
      <c r="BL86" s="2" t="s">
        <v>72</v>
      </c>
      <c r="BM86" s="2"/>
      <c r="BN86" s="2"/>
      <c r="BO86" s="2"/>
      <c r="BP86" s="2"/>
      <c r="BQ86" s="2"/>
      <c r="BR86" s="2"/>
      <c r="BS86" s="2"/>
      <c r="BT86" s="2"/>
      <c r="BU86" s="2"/>
      <c r="BV86" s="2"/>
      <c r="BW86" s="2" t="s">
        <v>72</v>
      </c>
      <c r="BX86" s="2"/>
      <c r="BY86" s="2"/>
      <c r="BZ86" s="2"/>
      <c r="CA86" s="2"/>
      <c r="CB86" s="2"/>
      <c r="CC86" s="2"/>
      <c r="CD86" s="2"/>
      <c r="CE86" s="2"/>
      <c r="CF86" s="2"/>
      <c r="CG86" s="2"/>
    </row>
    <row r="87" spans="6:85" hidden="1">
      <c r="F87" s="2"/>
      <c r="G87" s="2"/>
      <c r="H87" s="35" t="s">
        <v>36</v>
      </c>
      <c r="I87" s="35" t="s">
        <v>36</v>
      </c>
      <c r="J87" s="2" t="s">
        <v>73</v>
      </c>
      <c r="K87" s="2"/>
      <c r="L87" s="2"/>
      <c r="M87" s="2"/>
      <c r="N87" s="2"/>
      <c r="O87" s="2"/>
      <c r="P87" s="2"/>
      <c r="Q87" s="2"/>
      <c r="R87" s="2"/>
      <c r="S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W87" s="2"/>
      <c r="AX87" s="2"/>
      <c r="AY87" s="2"/>
      <c r="AZ87" s="2"/>
      <c r="BA87" s="2"/>
      <c r="BB87" s="2"/>
      <c r="BC87" s="2"/>
      <c r="BD87" s="2"/>
      <c r="BE87" s="2"/>
      <c r="BF87" s="2"/>
      <c r="BG87" s="2"/>
      <c r="BH87" s="2"/>
      <c r="BK87" s="2"/>
      <c r="BL87" s="2"/>
      <c r="BM87" s="2"/>
      <c r="BN87" s="2"/>
      <c r="BO87" s="2"/>
      <c r="BP87" s="2"/>
      <c r="BQ87" s="2"/>
      <c r="BR87" s="2"/>
      <c r="BS87" s="2"/>
      <c r="BT87" s="2"/>
      <c r="BU87" s="2"/>
      <c r="BV87" s="2"/>
      <c r="BW87" s="2"/>
      <c r="BX87" s="2"/>
      <c r="BY87" s="2"/>
      <c r="BZ87" s="2"/>
      <c r="CA87" s="2"/>
      <c r="CB87" s="2"/>
      <c r="CC87" s="2"/>
      <c r="CD87" s="2"/>
      <c r="CE87" s="2"/>
      <c r="CF87" s="2"/>
      <c r="CG87" s="2"/>
    </row>
    <row r="88" spans="6:85" hidden="1">
      <c r="F88" s="2">
        <v>1</v>
      </c>
      <c r="G88" s="2" t="s">
        <v>18</v>
      </c>
      <c r="H88" s="35">
        <f t="shared" ref="H88:H97" si="24">IF((J$9=G88),F88,"")</f>
        <v>1</v>
      </c>
      <c r="I88" s="35">
        <f>IFERROR(SMALL(H$88:H$97,F88),"")</f>
        <v>1</v>
      </c>
      <c r="J88" s="2"/>
      <c r="K88" s="2"/>
      <c r="L88" s="2"/>
      <c r="M88" s="2"/>
      <c r="N88" s="2"/>
      <c r="O88" s="2"/>
      <c r="P88" s="2"/>
      <c r="Q88" s="2"/>
      <c r="R88" s="2"/>
      <c r="S88" s="2"/>
      <c r="U88" s="2"/>
      <c r="V88" s="2"/>
      <c r="W88" s="35" t="s">
        <v>36</v>
      </c>
      <c r="X88" s="35" t="s">
        <v>36</v>
      </c>
      <c r="Y88" s="2" t="s">
        <v>73</v>
      </c>
      <c r="Z88" s="2"/>
      <c r="AA88" s="2"/>
      <c r="AB88" s="2"/>
      <c r="AC88" s="2"/>
      <c r="AD88" s="2"/>
      <c r="AE88" s="2"/>
      <c r="AF88" s="2"/>
      <c r="AG88" s="2"/>
      <c r="AH88" s="2"/>
      <c r="AI88" s="2"/>
      <c r="AJ88" s="2"/>
      <c r="AK88" s="35" t="s">
        <v>36</v>
      </c>
      <c r="AL88" s="35" t="s">
        <v>36</v>
      </c>
      <c r="AM88" s="2" t="s">
        <v>73</v>
      </c>
      <c r="AN88" s="2"/>
      <c r="AO88" s="2"/>
      <c r="AP88" s="2"/>
      <c r="AQ88" s="2"/>
      <c r="AR88" s="2"/>
      <c r="AS88" s="2"/>
      <c r="AT88" s="2"/>
      <c r="AU88" s="2"/>
      <c r="AW88" s="2"/>
      <c r="AX88" s="2"/>
      <c r="AY88" s="35" t="s">
        <v>36</v>
      </c>
      <c r="AZ88" s="35" t="s">
        <v>36</v>
      </c>
      <c r="BA88" s="2" t="s">
        <v>73</v>
      </c>
      <c r="BB88" s="2"/>
      <c r="BC88" s="2"/>
      <c r="BD88" s="2"/>
      <c r="BE88" s="2"/>
      <c r="BF88" s="2"/>
      <c r="BG88" s="2"/>
      <c r="BH88" s="2"/>
      <c r="BK88" s="2"/>
      <c r="BL88" s="2"/>
      <c r="BM88" s="35" t="s">
        <v>36</v>
      </c>
      <c r="BN88" s="35" t="s">
        <v>36</v>
      </c>
      <c r="BO88" s="2" t="s">
        <v>73</v>
      </c>
      <c r="BP88" s="2"/>
      <c r="BQ88" s="2"/>
      <c r="BR88" s="2"/>
      <c r="BS88" s="2"/>
      <c r="BT88" s="2"/>
      <c r="BU88" s="2"/>
      <c r="BV88" s="2"/>
      <c r="BW88" s="2"/>
      <c r="BX88" s="35" t="s">
        <v>36</v>
      </c>
      <c r="BY88" s="35" t="s">
        <v>36</v>
      </c>
      <c r="BZ88" s="2" t="s">
        <v>73</v>
      </c>
      <c r="CA88" s="2"/>
      <c r="CB88" s="2"/>
      <c r="CC88" s="2"/>
      <c r="CD88" s="2"/>
      <c r="CE88" s="2"/>
      <c r="CF88" s="2"/>
      <c r="CG88" s="2"/>
    </row>
    <row r="89" spans="6:85" hidden="1">
      <c r="F89" s="2">
        <v>2</v>
      </c>
      <c r="G89" s="2" t="s">
        <v>45</v>
      </c>
      <c r="H89" s="35" t="str">
        <f t="shared" si="24"/>
        <v/>
      </c>
      <c r="I89" s="35"/>
      <c r="J89" s="2"/>
      <c r="K89" s="2"/>
      <c r="L89" s="2"/>
      <c r="M89" s="2"/>
      <c r="N89" s="2"/>
      <c r="O89" s="2"/>
      <c r="P89" s="2"/>
      <c r="Q89" s="2"/>
      <c r="R89" s="2"/>
      <c r="S89" s="2"/>
      <c r="U89" s="2">
        <v>1</v>
      </c>
      <c r="V89" s="2" t="s">
        <v>18</v>
      </c>
      <c r="W89" s="35" t="str">
        <f>IF((K$9=V89),U89,"")</f>
        <v/>
      </c>
      <c r="X89" s="35">
        <f>IFERROR(SMALL(W$89:W$98,U89),"")</f>
        <v>10</v>
      </c>
      <c r="Y89" s="2"/>
      <c r="Z89" s="2"/>
      <c r="AA89" s="2"/>
      <c r="AB89" s="2"/>
      <c r="AC89" s="2"/>
      <c r="AD89" s="2"/>
      <c r="AE89" s="2"/>
      <c r="AF89" s="2"/>
      <c r="AG89" s="2"/>
      <c r="AH89" s="2"/>
      <c r="AI89" s="2">
        <v>1</v>
      </c>
      <c r="AJ89" s="2" t="s">
        <v>18</v>
      </c>
      <c r="AK89" s="35" t="str">
        <f>IF((L$9=AJ89),AI89,"")</f>
        <v/>
      </c>
      <c r="AL89" s="35" t="str">
        <f>IFERROR(SMALL(AK$89:AK$97,AI89),"")</f>
        <v/>
      </c>
      <c r="AM89" s="2"/>
      <c r="AN89" s="2"/>
      <c r="AO89" s="2"/>
      <c r="AP89" s="2"/>
      <c r="AQ89" s="2"/>
      <c r="AR89" s="2"/>
      <c r="AS89" s="2"/>
      <c r="AT89" s="2"/>
      <c r="AU89" s="2"/>
      <c r="AW89" s="2">
        <v>1</v>
      </c>
      <c r="AX89" s="2" t="s">
        <v>18</v>
      </c>
      <c r="AY89" s="35" t="str">
        <f>IF((M$9=AX89),AW89,"")</f>
        <v/>
      </c>
      <c r="AZ89" s="35" t="str">
        <f>IFERROR(SMALL(AY$89:AY$97,AW89),"")</f>
        <v/>
      </c>
      <c r="BA89" s="2"/>
      <c r="BB89" s="2"/>
      <c r="BC89" s="2"/>
      <c r="BD89" s="2"/>
      <c r="BE89" s="2"/>
      <c r="BF89" s="2"/>
      <c r="BG89" s="2"/>
      <c r="BH89" s="2"/>
      <c r="BK89" s="2">
        <v>1</v>
      </c>
      <c r="BL89" s="2" t="s">
        <v>18</v>
      </c>
      <c r="BM89" s="35" t="str">
        <f>IF((N$9=BL89),BK89,"")</f>
        <v/>
      </c>
      <c r="BN89" s="35" t="str">
        <f>IFERROR(SMALL(BM$89:BM$97,BK89),"")</f>
        <v/>
      </c>
      <c r="BO89" s="2"/>
      <c r="BP89" s="2"/>
      <c r="BQ89" s="2"/>
      <c r="BR89" s="2"/>
      <c r="BS89" s="2"/>
      <c r="BT89" s="2"/>
      <c r="BU89" s="2"/>
      <c r="BV89" s="2">
        <v>1</v>
      </c>
      <c r="BW89" s="2" t="s">
        <v>18</v>
      </c>
      <c r="BX89" s="35" t="str">
        <f>IF((O$9=BW89),BV89,"")</f>
        <v/>
      </c>
      <c r="BY89" s="35" t="str">
        <f>IFERROR(SMALL(BX$89:BX$97,BV89),"")</f>
        <v/>
      </c>
      <c r="BZ89" s="2"/>
      <c r="CA89" s="2"/>
      <c r="CB89" s="2"/>
      <c r="CC89" s="2"/>
      <c r="CD89" s="2"/>
      <c r="CE89" s="2"/>
      <c r="CF89" s="2"/>
      <c r="CG89" s="2"/>
    </row>
    <row r="90" spans="6:85" hidden="1">
      <c r="F90" s="2">
        <v>3</v>
      </c>
      <c r="G90" s="2" t="s">
        <v>46</v>
      </c>
      <c r="H90" s="35" t="str">
        <f t="shared" si="24"/>
        <v/>
      </c>
      <c r="I90" s="35"/>
      <c r="J90" s="2"/>
      <c r="K90" s="2"/>
      <c r="L90" s="2"/>
      <c r="M90" s="2"/>
      <c r="N90" s="2"/>
      <c r="O90" s="2"/>
      <c r="P90" s="2"/>
      <c r="Q90" s="2"/>
      <c r="R90" s="2"/>
      <c r="S90" s="2"/>
      <c r="U90" s="2">
        <v>2</v>
      </c>
      <c r="V90" s="2" t="s">
        <v>45</v>
      </c>
      <c r="W90" s="35" t="str">
        <f t="shared" ref="W90:W98" si="25">IF((K$9=V90),U90,"")</f>
        <v/>
      </c>
      <c r="X90" s="35"/>
      <c r="Y90" s="2"/>
      <c r="Z90" s="2"/>
      <c r="AA90" s="2"/>
      <c r="AB90" s="2"/>
      <c r="AC90" s="2"/>
      <c r="AD90" s="2"/>
      <c r="AE90" s="2"/>
      <c r="AF90" s="2"/>
      <c r="AG90" s="2"/>
      <c r="AH90" s="2"/>
      <c r="AI90" s="2">
        <v>2</v>
      </c>
      <c r="AJ90" s="2" t="s">
        <v>45</v>
      </c>
      <c r="AK90" s="35" t="str">
        <f t="shared" ref="AK90:AK97" si="26">IF((L$9=AJ90),AI90,"")</f>
        <v/>
      </c>
      <c r="AL90" s="35"/>
      <c r="AM90" s="2"/>
      <c r="AN90" s="2"/>
      <c r="AO90" s="2"/>
      <c r="AP90" s="2"/>
      <c r="AQ90" s="2"/>
      <c r="AR90" s="2"/>
      <c r="AS90" s="2"/>
      <c r="AT90" s="2"/>
      <c r="AU90" s="2"/>
      <c r="AW90" s="2">
        <v>2</v>
      </c>
      <c r="AX90" s="2" t="s">
        <v>45</v>
      </c>
      <c r="AY90" s="35" t="str">
        <f t="shared" ref="AY90:AY97" si="27">IF((M$9=AX90),AW90,"")</f>
        <v/>
      </c>
      <c r="AZ90" s="35"/>
      <c r="BA90" s="2"/>
      <c r="BB90" s="2"/>
      <c r="BC90" s="2"/>
      <c r="BD90" s="2"/>
      <c r="BE90" s="2"/>
      <c r="BF90" s="2"/>
      <c r="BG90" s="2"/>
      <c r="BH90" s="2"/>
      <c r="BK90" s="2">
        <v>2</v>
      </c>
      <c r="BL90" s="2" t="s">
        <v>45</v>
      </c>
      <c r="BM90" s="35" t="str">
        <f t="shared" ref="BM90:BM97" si="28">IF((N$9=BL90),BK90,"")</f>
        <v/>
      </c>
      <c r="BN90" s="35"/>
      <c r="BO90" s="2"/>
      <c r="BP90" s="2"/>
      <c r="BQ90" s="2"/>
      <c r="BR90" s="2"/>
      <c r="BS90" s="2"/>
      <c r="BT90" s="2"/>
      <c r="BU90" s="2"/>
      <c r="BV90" s="2">
        <v>2</v>
      </c>
      <c r="BW90" s="2" t="s">
        <v>45</v>
      </c>
      <c r="BX90" s="35" t="str">
        <f t="shared" ref="BX90:BX97" si="29">IF((O$9=BW90),BV90,"")</f>
        <v/>
      </c>
      <c r="BY90" s="35"/>
      <c r="BZ90" s="2"/>
      <c r="CA90" s="2"/>
      <c r="CB90" s="2"/>
      <c r="CC90" s="2"/>
      <c r="CD90" s="2"/>
      <c r="CE90" s="2"/>
      <c r="CF90" s="2"/>
      <c r="CG90" s="2"/>
    </row>
    <row r="91" spans="6:85" hidden="1">
      <c r="F91" s="2">
        <v>4</v>
      </c>
      <c r="G91" s="2" t="s">
        <v>47</v>
      </c>
      <c r="H91" s="35" t="str">
        <f t="shared" si="24"/>
        <v/>
      </c>
      <c r="I91" s="35"/>
      <c r="J91" s="2"/>
      <c r="K91" s="2"/>
      <c r="L91" s="2"/>
      <c r="M91" s="2"/>
      <c r="N91" s="2"/>
      <c r="O91" s="2"/>
      <c r="P91" s="2"/>
      <c r="Q91" s="2"/>
      <c r="R91" s="2"/>
      <c r="S91" s="2"/>
      <c r="U91" s="2">
        <v>3</v>
      </c>
      <c r="V91" s="2" t="s">
        <v>46</v>
      </c>
      <c r="W91" s="35" t="str">
        <f t="shared" si="25"/>
        <v/>
      </c>
      <c r="X91" s="35"/>
      <c r="Y91" s="2"/>
      <c r="Z91" s="2"/>
      <c r="AA91" s="2"/>
      <c r="AB91" s="2"/>
      <c r="AC91" s="2"/>
      <c r="AD91" s="2"/>
      <c r="AE91" s="2"/>
      <c r="AF91" s="2"/>
      <c r="AG91" s="2"/>
      <c r="AH91" s="2"/>
      <c r="AI91" s="2">
        <v>3</v>
      </c>
      <c r="AJ91" s="2" t="s">
        <v>46</v>
      </c>
      <c r="AK91" s="35" t="str">
        <f t="shared" si="26"/>
        <v/>
      </c>
      <c r="AL91" s="35"/>
      <c r="AM91" s="2"/>
      <c r="AN91" s="2"/>
      <c r="AO91" s="2"/>
      <c r="AP91" s="2"/>
      <c r="AQ91" s="2"/>
      <c r="AR91" s="2"/>
      <c r="AS91" s="2"/>
      <c r="AT91" s="2"/>
      <c r="AU91" s="2"/>
      <c r="AW91" s="2">
        <v>3</v>
      </c>
      <c r="AX91" s="2" t="s">
        <v>46</v>
      </c>
      <c r="AY91" s="35" t="str">
        <f t="shared" si="27"/>
        <v/>
      </c>
      <c r="AZ91" s="35"/>
      <c r="BA91" s="2"/>
      <c r="BB91" s="2"/>
      <c r="BC91" s="2"/>
      <c r="BD91" s="2"/>
      <c r="BE91" s="2"/>
      <c r="BF91" s="2"/>
      <c r="BG91" s="2"/>
      <c r="BH91" s="2"/>
      <c r="BK91" s="2">
        <v>3</v>
      </c>
      <c r="BL91" s="2" t="s">
        <v>46</v>
      </c>
      <c r="BM91" s="35" t="str">
        <f t="shared" si="28"/>
        <v/>
      </c>
      <c r="BN91" s="35"/>
      <c r="BO91" s="2"/>
      <c r="BP91" s="2"/>
      <c r="BQ91" s="2"/>
      <c r="BR91" s="2"/>
      <c r="BS91" s="2"/>
      <c r="BT91" s="2"/>
      <c r="BU91" s="2"/>
      <c r="BV91" s="2">
        <v>3</v>
      </c>
      <c r="BW91" s="2" t="s">
        <v>46</v>
      </c>
      <c r="BX91" s="35" t="str">
        <f t="shared" si="29"/>
        <v/>
      </c>
      <c r="BY91" s="35"/>
      <c r="BZ91" s="2"/>
      <c r="CA91" s="2"/>
      <c r="CB91" s="2"/>
      <c r="CC91" s="2"/>
      <c r="CD91" s="2"/>
      <c r="CE91" s="2"/>
      <c r="CF91" s="2"/>
      <c r="CG91" s="2"/>
    </row>
    <row r="92" spans="6:85" hidden="1">
      <c r="F92" s="2">
        <v>5</v>
      </c>
      <c r="G92" s="2" t="s">
        <v>48</v>
      </c>
      <c r="H92" s="35" t="str">
        <f t="shared" si="24"/>
        <v/>
      </c>
      <c r="I92" s="35"/>
      <c r="J92" s="2"/>
      <c r="K92" s="2"/>
      <c r="L92" s="2"/>
      <c r="M92" s="2"/>
      <c r="N92" s="2"/>
      <c r="O92" s="2"/>
      <c r="P92" s="2"/>
      <c r="Q92" s="2"/>
      <c r="R92" s="2"/>
      <c r="S92" s="2"/>
      <c r="U92" s="2">
        <v>4</v>
      </c>
      <c r="V92" s="2" t="s">
        <v>47</v>
      </c>
      <c r="W92" s="35" t="str">
        <f t="shared" si="25"/>
        <v/>
      </c>
      <c r="X92" s="35"/>
      <c r="Y92" s="2"/>
      <c r="Z92" s="2"/>
      <c r="AA92" s="2"/>
      <c r="AB92" s="2"/>
      <c r="AC92" s="2"/>
      <c r="AD92" s="2"/>
      <c r="AE92" s="2"/>
      <c r="AF92" s="2"/>
      <c r="AG92" s="2"/>
      <c r="AH92" s="2"/>
      <c r="AI92" s="2">
        <v>4</v>
      </c>
      <c r="AJ92" s="2" t="s">
        <v>47</v>
      </c>
      <c r="AK92" s="35" t="str">
        <f t="shared" si="26"/>
        <v/>
      </c>
      <c r="AL92" s="35"/>
      <c r="AM92" s="2"/>
      <c r="AN92" s="2"/>
      <c r="AO92" s="2"/>
      <c r="AP92" s="2"/>
      <c r="AQ92" s="2"/>
      <c r="AR92" s="2"/>
      <c r="AS92" s="2"/>
      <c r="AT92" s="2"/>
      <c r="AU92" s="2"/>
      <c r="AW92" s="2">
        <v>4</v>
      </c>
      <c r="AX92" s="2" t="s">
        <v>47</v>
      </c>
      <c r="AY92" s="35" t="str">
        <f t="shared" si="27"/>
        <v/>
      </c>
      <c r="AZ92" s="35"/>
      <c r="BA92" s="2"/>
      <c r="BB92" s="2"/>
      <c r="BC92" s="2"/>
      <c r="BD92" s="2"/>
      <c r="BE92" s="2"/>
      <c r="BF92" s="2"/>
      <c r="BG92" s="2"/>
      <c r="BH92" s="2"/>
      <c r="BK92" s="2">
        <v>4</v>
      </c>
      <c r="BL92" s="2" t="s">
        <v>47</v>
      </c>
      <c r="BM92" s="35" t="str">
        <f t="shared" si="28"/>
        <v/>
      </c>
      <c r="BN92" s="35"/>
      <c r="BO92" s="2"/>
      <c r="BP92" s="2"/>
      <c r="BQ92" s="2"/>
      <c r="BR92" s="2"/>
      <c r="BS92" s="2"/>
      <c r="BT92" s="2"/>
      <c r="BU92" s="2"/>
      <c r="BV92" s="2">
        <v>4</v>
      </c>
      <c r="BW92" s="2" t="s">
        <v>47</v>
      </c>
      <c r="BX92" s="35" t="str">
        <f t="shared" si="29"/>
        <v/>
      </c>
      <c r="BY92" s="35"/>
      <c r="BZ92" s="2"/>
      <c r="CA92" s="2"/>
      <c r="CB92" s="2"/>
      <c r="CC92" s="2"/>
      <c r="CD92" s="2"/>
      <c r="CE92" s="2"/>
      <c r="CF92" s="2"/>
      <c r="CG92" s="2"/>
    </row>
    <row r="93" spans="6:85" hidden="1">
      <c r="F93" s="2">
        <v>6</v>
      </c>
      <c r="G93" s="2" t="s">
        <v>49</v>
      </c>
      <c r="H93" s="35" t="str">
        <f t="shared" si="24"/>
        <v/>
      </c>
      <c r="I93" s="35"/>
      <c r="J93" s="2"/>
      <c r="K93" s="2"/>
      <c r="L93" s="2"/>
      <c r="M93" s="2"/>
      <c r="N93" s="2"/>
      <c r="O93" s="2"/>
      <c r="P93" s="2"/>
      <c r="Q93" s="2"/>
      <c r="R93" s="2"/>
      <c r="S93" s="2"/>
      <c r="U93" s="2">
        <v>5</v>
      </c>
      <c r="V93" s="2" t="s">
        <v>48</v>
      </c>
      <c r="W93" s="35" t="str">
        <f t="shared" si="25"/>
        <v/>
      </c>
      <c r="X93" s="35"/>
      <c r="Y93" s="2"/>
      <c r="Z93" s="2"/>
      <c r="AA93" s="2"/>
      <c r="AB93" s="2"/>
      <c r="AC93" s="2"/>
      <c r="AD93" s="2"/>
      <c r="AE93" s="2"/>
      <c r="AF93" s="2"/>
      <c r="AG93" s="2"/>
      <c r="AH93" s="2"/>
      <c r="AI93" s="2">
        <v>5</v>
      </c>
      <c r="AJ93" s="2" t="s">
        <v>48</v>
      </c>
      <c r="AK93" s="35" t="str">
        <f t="shared" si="26"/>
        <v/>
      </c>
      <c r="AL93" s="35"/>
      <c r="AM93" s="2"/>
      <c r="AN93" s="2"/>
      <c r="AO93" s="2"/>
      <c r="AP93" s="2"/>
      <c r="AQ93" s="2"/>
      <c r="AR93" s="2"/>
      <c r="AS93" s="2"/>
      <c r="AT93" s="2"/>
      <c r="AU93" s="2"/>
      <c r="AW93" s="2">
        <v>5</v>
      </c>
      <c r="AX93" s="2" t="s">
        <v>48</v>
      </c>
      <c r="AY93" s="35" t="str">
        <f t="shared" si="27"/>
        <v/>
      </c>
      <c r="AZ93" s="35"/>
      <c r="BA93" s="2"/>
      <c r="BB93" s="2"/>
      <c r="BC93" s="2"/>
      <c r="BD93" s="2"/>
      <c r="BE93" s="2"/>
      <c r="BF93" s="2"/>
      <c r="BG93" s="2"/>
      <c r="BH93" s="2"/>
      <c r="BK93" s="2">
        <v>5</v>
      </c>
      <c r="BL93" s="2" t="s">
        <v>48</v>
      </c>
      <c r="BM93" s="35" t="str">
        <f t="shared" si="28"/>
        <v/>
      </c>
      <c r="BN93" s="35"/>
      <c r="BO93" s="2"/>
      <c r="BP93" s="2"/>
      <c r="BQ93" s="2"/>
      <c r="BR93" s="2"/>
      <c r="BS93" s="2"/>
      <c r="BT93" s="2"/>
      <c r="BU93" s="2"/>
      <c r="BV93" s="2">
        <v>5</v>
      </c>
      <c r="BW93" s="2" t="s">
        <v>48</v>
      </c>
      <c r="BX93" s="35" t="str">
        <f t="shared" si="29"/>
        <v/>
      </c>
      <c r="BY93" s="35"/>
      <c r="BZ93" s="2"/>
      <c r="CA93" s="2"/>
      <c r="CB93" s="2"/>
      <c r="CC93" s="2"/>
      <c r="CD93" s="2"/>
      <c r="CE93" s="2"/>
      <c r="CF93" s="2"/>
      <c r="CG93" s="2"/>
    </row>
    <row r="94" spans="6:85" hidden="1">
      <c r="F94" s="2">
        <v>7</v>
      </c>
      <c r="G94" s="2" t="s">
        <v>50</v>
      </c>
      <c r="H94" s="35" t="str">
        <f t="shared" si="24"/>
        <v/>
      </c>
      <c r="I94" s="35"/>
      <c r="J94" s="2"/>
      <c r="K94" s="2"/>
      <c r="L94" s="2"/>
      <c r="M94" s="2"/>
      <c r="N94" s="2"/>
      <c r="O94" s="2"/>
      <c r="P94" s="2"/>
      <c r="Q94" s="2"/>
      <c r="R94" s="2"/>
      <c r="S94" s="2"/>
      <c r="U94" s="2">
        <v>6</v>
      </c>
      <c r="V94" s="2" t="s">
        <v>49</v>
      </c>
      <c r="W94" s="35" t="str">
        <f t="shared" si="25"/>
        <v/>
      </c>
      <c r="X94" s="35"/>
      <c r="Y94" s="2"/>
      <c r="Z94" s="2"/>
      <c r="AA94" s="2"/>
      <c r="AB94" s="2"/>
      <c r="AC94" s="2"/>
      <c r="AD94" s="2"/>
      <c r="AE94" s="2"/>
      <c r="AF94" s="2"/>
      <c r="AG94" s="2"/>
      <c r="AH94" s="2"/>
      <c r="AI94" s="2">
        <v>6</v>
      </c>
      <c r="AJ94" s="2" t="s">
        <v>49</v>
      </c>
      <c r="AK94" s="35" t="str">
        <f t="shared" si="26"/>
        <v/>
      </c>
      <c r="AL94" s="35"/>
      <c r="AM94" s="2"/>
      <c r="AN94" s="2"/>
      <c r="AO94" s="2"/>
      <c r="AP94" s="2"/>
      <c r="AQ94" s="2"/>
      <c r="AR94" s="2"/>
      <c r="AS94" s="2"/>
      <c r="AT94" s="2"/>
      <c r="AU94" s="2"/>
      <c r="AW94" s="2">
        <v>6</v>
      </c>
      <c r="AX94" s="2" t="s">
        <v>49</v>
      </c>
      <c r="AY94" s="35" t="str">
        <f t="shared" si="27"/>
        <v/>
      </c>
      <c r="AZ94" s="35"/>
      <c r="BA94" s="2"/>
      <c r="BB94" s="2"/>
      <c r="BC94" s="2"/>
      <c r="BD94" s="2"/>
      <c r="BE94" s="2"/>
      <c r="BF94" s="2"/>
      <c r="BG94" s="2"/>
      <c r="BH94" s="2"/>
      <c r="BK94" s="2">
        <v>6</v>
      </c>
      <c r="BL94" s="2" t="s">
        <v>49</v>
      </c>
      <c r="BM94" s="35" t="str">
        <f t="shared" si="28"/>
        <v/>
      </c>
      <c r="BN94" s="35"/>
      <c r="BO94" s="2"/>
      <c r="BP94" s="2"/>
      <c r="BQ94" s="2"/>
      <c r="BR94" s="2"/>
      <c r="BS94" s="2"/>
      <c r="BT94" s="2"/>
      <c r="BU94" s="2"/>
      <c r="BV94" s="2">
        <v>6</v>
      </c>
      <c r="BW94" s="2" t="s">
        <v>49</v>
      </c>
      <c r="BX94" s="35" t="str">
        <f t="shared" si="29"/>
        <v/>
      </c>
      <c r="BY94" s="35"/>
      <c r="BZ94" s="2"/>
      <c r="CA94" s="2"/>
      <c r="CB94" s="2"/>
      <c r="CC94" s="2"/>
      <c r="CD94" s="2"/>
      <c r="CE94" s="2"/>
      <c r="CF94" s="2"/>
      <c r="CG94" s="2"/>
    </row>
    <row r="95" spans="6:85" hidden="1">
      <c r="F95" s="2">
        <v>8</v>
      </c>
      <c r="G95" s="2" t="s">
        <v>52</v>
      </c>
      <c r="H95" s="35" t="str">
        <f t="shared" si="24"/>
        <v/>
      </c>
      <c r="I95" s="35"/>
      <c r="J95" s="2"/>
      <c r="K95" s="2"/>
      <c r="L95" s="2"/>
      <c r="M95" s="2"/>
      <c r="N95" s="2"/>
      <c r="O95" s="2"/>
      <c r="P95" s="2"/>
      <c r="Q95" s="2"/>
      <c r="R95" s="2"/>
      <c r="S95" s="2"/>
      <c r="U95" s="2">
        <v>7</v>
      </c>
      <c r="V95" s="2" t="s">
        <v>50</v>
      </c>
      <c r="W95" s="35" t="str">
        <f t="shared" si="25"/>
        <v/>
      </c>
      <c r="X95" s="35"/>
      <c r="Y95" s="2"/>
      <c r="Z95" s="2"/>
      <c r="AA95" s="2"/>
      <c r="AB95" s="2"/>
      <c r="AC95" s="2"/>
      <c r="AD95" s="2"/>
      <c r="AE95" s="2"/>
      <c r="AF95" s="2"/>
      <c r="AG95" s="2"/>
      <c r="AH95" s="2"/>
      <c r="AI95" s="2">
        <v>7</v>
      </c>
      <c r="AJ95" s="2" t="s">
        <v>50</v>
      </c>
      <c r="AK95" s="35" t="str">
        <f t="shared" si="26"/>
        <v/>
      </c>
      <c r="AL95" s="35"/>
      <c r="AM95" s="2"/>
      <c r="AN95" s="2"/>
      <c r="AO95" s="2"/>
      <c r="AP95" s="2"/>
      <c r="AQ95" s="2"/>
      <c r="AR95" s="2"/>
      <c r="AS95" s="2"/>
      <c r="AT95" s="2"/>
      <c r="AU95" s="2"/>
      <c r="AW95" s="2">
        <v>7</v>
      </c>
      <c r="AX95" s="2" t="s">
        <v>50</v>
      </c>
      <c r="AY95" s="35" t="str">
        <f t="shared" si="27"/>
        <v/>
      </c>
      <c r="AZ95" s="35"/>
      <c r="BA95" s="2"/>
      <c r="BB95" s="2"/>
      <c r="BC95" s="2"/>
      <c r="BD95" s="2"/>
      <c r="BE95" s="2"/>
      <c r="BF95" s="2"/>
      <c r="BG95" s="2"/>
      <c r="BH95" s="2"/>
      <c r="BK95" s="2">
        <v>7</v>
      </c>
      <c r="BL95" s="2" t="s">
        <v>50</v>
      </c>
      <c r="BM95" s="35" t="str">
        <f t="shared" si="28"/>
        <v/>
      </c>
      <c r="BN95" s="35"/>
      <c r="BO95" s="2"/>
      <c r="BP95" s="2"/>
      <c r="BQ95" s="2"/>
      <c r="BR95" s="2"/>
      <c r="BS95" s="2"/>
      <c r="BT95" s="2"/>
      <c r="BU95" s="2"/>
      <c r="BV95" s="2">
        <v>7</v>
      </c>
      <c r="BW95" s="2" t="s">
        <v>50</v>
      </c>
      <c r="BX95" s="35" t="str">
        <f t="shared" si="29"/>
        <v/>
      </c>
      <c r="BY95" s="35"/>
      <c r="BZ95" s="2"/>
      <c r="CA95" s="2"/>
      <c r="CB95" s="2"/>
      <c r="CC95" s="2"/>
      <c r="CD95" s="2"/>
      <c r="CE95" s="2"/>
      <c r="CF95" s="2"/>
      <c r="CG95" s="2"/>
    </row>
    <row r="96" spans="6:85" hidden="1">
      <c r="F96" s="2">
        <v>9</v>
      </c>
      <c r="G96" s="2" t="s">
        <v>53</v>
      </c>
      <c r="H96" s="35" t="str">
        <f t="shared" si="24"/>
        <v/>
      </c>
      <c r="I96" s="35"/>
      <c r="J96" s="2"/>
      <c r="K96" s="2"/>
      <c r="L96" s="2"/>
      <c r="M96" s="2"/>
      <c r="N96" s="2"/>
      <c r="O96" s="2"/>
      <c r="P96" s="2"/>
      <c r="Q96" s="2"/>
      <c r="R96" s="2"/>
      <c r="S96" s="2"/>
      <c r="U96" s="2">
        <v>8</v>
      </c>
      <c r="V96" s="2" t="s">
        <v>52</v>
      </c>
      <c r="W96" s="35" t="str">
        <f t="shared" si="25"/>
        <v/>
      </c>
      <c r="X96" s="35"/>
      <c r="Y96" s="2"/>
      <c r="Z96" s="2"/>
      <c r="AA96" s="2"/>
      <c r="AB96" s="2"/>
      <c r="AC96" s="2"/>
      <c r="AD96" s="2"/>
      <c r="AE96" s="2"/>
      <c r="AF96" s="2"/>
      <c r="AG96" s="2"/>
      <c r="AH96" s="2"/>
      <c r="AI96" s="2">
        <v>8</v>
      </c>
      <c r="AJ96" s="2" t="s">
        <v>52</v>
      </c>
      <c r="AK96" s="35" t="str">
        <f t="shared" si="26"/>
        <v/>
      </c>
      <c r="AL96" s="35"/>
      <c r="AM96" s="2"/>
      <c r="AN96" s="2"/>
      <c r="AO96" s="2"/>
      <c r="AP96" s="2"/>
      <c r="AQ96" s="2"/>
      <c r="AR96" s="2"/>
      <c r="AS96" s="2"/>
      <c r="AT96" s="2"/>
      <c r="AU96" s="2"/>
      <c r="AW96" s="2">
        <v>8</v>
      </c>
      <c r="AX96" s="2" t="s">
        <v>52</v>
      </c>
      <c r="AY96" s="35" t="str">
        <f t="shared" si="27"/>
        <v/>
      </c>
      <c r="AZ96" s="35"/>
      <c r="BA96" s="2"/>
      <c r="BB96" s="2"/>
      <c r="BC96" s="2"/>
      <c r="BD96" s="2"/>
      <c r="BE96" s="2"/>
      <c r="BF96" s="2"/>
      <c r="BG96" s="2"/>
      <c r="BH96" s="2"/>
      <c r="BK96" s="2">
        <v>8</v>
      </c>
      <c r="BL96" s="2" t="s">
        <v>52</v>
      </c>
      <c r="BM96" s="35" t="str">
        <f t="shared" si="28"/>
        <v/>
      </c>
      <c r="BN96" s="35"/>
      <c r="BO96" s="2"/>
      <c r="BP96" s="2"/>
      <c r="BQ96" s="2"/>
      <c r="BR96" s="2"/>
      <c r="BS96" s="2"/>
      <c r="BT96" s="2"/>
      <c r="BU96" s="2"/>
      <c r="BV96" s="2">
        <v>8</v>
      </c>
      <c r="BW96" s="2" t="s">
        <v>52</v>
      </c>
      <c r="BX96" s="35" t="str">
        <f t="shared" si="29"/>
        <v/>
      </c>
      <c r="BY96" s="35"/>
      <c r="BZ96" s="2"/>
      <c r="CA96" s="2"/>
      <c r="CB96" s="2"/>
      <c r="CC96" s="2"/>
      <c r="CD96" s="2"/>
      <c r="CE96" s="2"/>
      <c r="CF96" s="2"/>
      <c r="CG96" s="2"/>
    </row>
    <row r="97" spans="6:85" hidden="1">
      <c r="F97" s="2">
        <v>10</v>
      </c>
      <c r="G97" s="17" t="s">
        <v>11</v>
      </c>
      <c r="H97" s="35" t="str">
        <f t="shared" si="24"/>
        <v/>
      </c>
      <c r="I97" s="2"/>
      <c r="J97" s="2"/>
      <c r="K97" s="2"/>
      <c r="L97" s="2"/>
      <c r="M97" s="2"/>
      <c r="N97" s="2"/>
      <c r="O97" s="2"/>
      <c r="P97" s="2"/>
      <c r="Q97" s="2"/>
      <c r="R97" s="2"/>
      <c r="S97" s="2"/>
      <c r="U97" s="2">
        <v>9</v>
      </c>
      <c r="V97" s="2" t="s">
        <v>53</v>
      </c>
      <c r="W97" s="35" t="str">
        <f t="shared" si="25"/>
        <v/>
      </c>
      <c r="X97" s="35"/>
      <c r="Y97" s="2"/>
      <c r="Z97" s="2"/>
      <c r="AA97" s="2"/>
      <c r="AB97" s="2"/>
      <c r="AC97" s="2"/>
      <c r="AD97" s="2"/>
      <c r="AE97" s="2"/>
      <c r="AF97" s="2"/>
      <c r="AG97" s="2"/>
      <c r="AH97" s="2"/>
      <c r="AI97" s="2">
        <v>9</v>
      </c>
      <c r="AJ97" s="2" t="s">
        <v>53</v>
      </c>
      <c r="AK97" s="35" t="str">
        <f t="shared" si="26"/>
        <v/>
      </c>
      <c r="AL97" s="35"/>
      <c r="AM97" s="2"/>
      <c r="AN97" s="2"/>
      <c r="AO97" s="2"/>
      <c r="AP97" s="2"/>
      <c r="AQ97" s="2"/>
      <c r="AR97" s="2"/>
      <c r="AS97" s="2"/>
      <c r="AT97" s="2"/>
      <c r="AU97" s="2"/>
      <c r="AW97" s="2">
        <v>9</v>
      </c>
      <c r="AX97" s="2" t="s">
        <v>53</v>
      </c>
      <c r="AY97" s="35" t="str">
        <f t="shared" si="27"/>
        <v/>
      </c>
      <c r="AZ97" s="35"/>
      <c r="BA97" s="2"/>
      <c r="BB97" s="2"/>
      <c r="BC97" s="2"/>
      <c r="BD97" s="2"/>
      <c r="BE97" s="2"/>
      <c r="BF97" s="2"/>
      <c r="BG97" s="2"/>
      <c r="BH97" s="2"/>
      <c r="BK97" s="2">
        <v>9</v>
      </c>
      <c r="BL97" s="2" t="s">
        <v>53</v>
      </c>
      <c r="BM97" s="35" t="str">
        <f t="shared" si="28"/>
        <v/>
      </c>
      <c r="BN97" s="35"/>
      <c r="BO97" s="2"/>
      <c r="BP97" s="2"/>
      <c r="BQ97" s="2"/>
      <c r="BR97" s="2"/>
      <c r="BS97" s="2"/>
      <c r="BT97" s="2"/>
      <c r="BU97" s="2"/>
      <c r="BV97" s="2">
        <v>9</v>
      </c>
      <c r="BW97" s="2" t="s">
        <v>53</v>
      </c>
      <c r="BX97" s="35" t="str">
        <f t="shared" si="29"/>
        <v/>
      </c>
      <c r="BY97" s="35"/>
      <c r="BZ97" s="2"/>
      <c r="CA97" s="2"/>
      <c r="CB97" s="2"/>
      <c r="CC97" s="2"/>
      <c r="CD97" s="2"/>
      <c r="CE97" s="2"/>
      <c r="CF97" s="2"/>
      <c r="CG97" s="2"/>
    </row>
    <row r="98" spans="6:85" hidden="1">
      <c r="F98" s="2"/>
      <c r="G98" s="2"/>
      <c r="H98" s="2"/>
      <c r="I98" s="2"/>
      <c r="J98" s="2"/>
      <c r="K98" s="2"/>
      <c r="L98" s="2"/>
      <c r="M98" s="2"/>
      <c r="N98" s="2"/>
      <c r="O98" s="2"/>
      <c r="P98" s="2"/>
      <c r="Q98" s="2"/>
      <c r="R98" s="2"/>
      <c r="S98" s="2"/>
      <c r="U98" s="2">
        <v>10</v>
      </c>
      <c r="V98" s="17" t="s">
        <v>11</v>
      </c>
      <c r="W98" s="35">
        <f t="shared" si="25"/>
        <v>10</v>
      </c>
      <c r="X98" s="2"/>
      <c r="Y98" s="2"/>
      <c r="Z98" s="2"/>
      <c r="AA98" s="2"/>
      <c r="AB98" s="2"/>
      <c r="AC98" s="2"/>
      <c r="AD98" s="2"/>
      <c r="AE98" s="2"/>
      <c r="AF98" s="2"/>
      <c r="AG98" s="2"/>
      <c r="AH98" s="2"/>
      <c r="AI98" s="2"/>
      <c r="AJ98" s="2"/>
      <c r="AK98" s="2"/>
      <c r="AL98" s="2"/>
      <c r="AM98" s="2"/>
      <c r="AN98" s="2"/>
      <c r="AO98" s="2"/>
      <c r="AP98" s="2"/>
      <c r="AQ98" s="2"/>
      <c r="AR98" s="2"/>
      <c r="AS98" s="2"/>
      <c r="AT98" s="2"/>
      <c r="AU98" s="2"/>
      <c r="AW98" s="2"/>
      <c r="AX98" s="2"/>
      <c r="AY98" s="2"/>
      <c r="AZ98" s="2"/>
      <c r="BA98" s="2"/>
      <c r="BB98" s="2"/>
      <c r="BC98" s="2"/>
      <c r="BD98" s="2"/>
      <c r="BE98" s="2"/>
      <c r="BF98" s="2"/>
      <c r="BG98" s="2"/>
      <c r="BH98" s="2"/>
      <c r="BK98" s="2"/>
      <c r="BL98" s="2"/>
      <c r="BM98" s="2"/>
      <c r="BN98" s="2"/>
      <c r="BO98" s="2"/>
      <c r="BP98" s="2"/>
      <c r="BQ98" s="2"/>
      <c r="BR98" s="2"/>
      <c r="BS98" s="2"/>
      <c r="BT98" s="2"/>
      <c r="BU98" s="2"/>
      <c r="BV98" s="2"/>
      <c r="BW98" s="2"/>
      <c r="BX98" s="2"/>
      <c r="BY98" s="2"/>
      <c r="BZ98" s="2"/>
      <c r="CA98" s="2"/>
      <c r="CB98" s="2"/>
      <c r="CC98" s="2"/>
      <c r="CD98" s="2"/>
      <c r="CE98" s="2"/>
      <c r="CF98" s="2"/>
      <c r="CG98" s="2"/>
    </row>
    <row r="99" spans="6:85" hidden="1">
      <c r="F99" s="2"/>
      <c r="G99" s="12" t="s">
        <v>56</v>
      </c>
      <c r="H99" s="12" t="s">
        <v>69</v>
      </c>
      <c r="I99" s="2" t="s">
        <v>58</v>
      </c>
      <c r="J99" s="2" t="s">
        <v>58</v>
      </c>
      <c r="K99" s="12" t="s">
        <v>59</v>
      </c>
      <c r="L99" s="2" t="s">
        <v>60</v>
      </c>
      <c r="M99" s="2" t="s">
        <v>61</v>
      </c>
      <c r="N99" s="2" t="s">
        <v>62</v>
      </c>
      <c r="O99" s="2"/>
      <c r="P99" s="2"/>
      <c r="Q99" s="2"/>
      <c r="R99" s="2"/>
      <c r="S99" s="2"/>
      <c r="U99" s="2"/>
      <c r="V99" s="12" t="s">
        <v>56</v>
      </c>
      <c r="W99" s="12" t="s">
        <v>69</v>
      </c>
      <c r="X99" s="2" t="s">
        <v>58</v>
      </c>
      <c r="Y99" s="2" t="s">
        <v>58</v>
      </c>
      <c r="Z99" s="12" t="s">
        <v>59</v>
      </c>
      <c r="AA99" s="2" t="s">
        <v>60</v>
      </c>
      <c r="AB99" s="2" t="s">
        <v>61</v>
      </c>
      <c r="AC99" s="2" t="s">
        <v>62</v>
      </c>
      <c r="AD99" s="2"/>
      <c r="AE99" s="2"/>
      <c r="AF99" s="2"/>
      <c r="AG99" s="2"/>
      <c r="AH99" s="2"/>
      <c r="AI99" s="2"/>
      <c r="AJ99" s="12" t="s">
        <v>56</v>
      </c>
      <c r="AK99" s="12" t="s">
        <v>69</v>
      </c>
      <c r="AL99" s="2" t="s">
        <v>58</v>
      </c>
      <c r="AM99" s="2" t="s">
        <v>58</v>
      </c>
      <c r="AN99" s="12" t="s">
        <v>59</v>
      </c>
      <c r="AO99" s="2" t="s">
        <v>60</v>
      </c>
      <c r="AP99" s="2" t="s">
        <v>61</v>
      </c>
      <c r="AQ99" s="2" t="s">
        <v>62</v>
      </c>
      <c r="AR99" s="2"/>
      <c r="AS99" s="2"/>
      <c r="AT99" s="2"/>
      <c r="AU99" s="2"/>
      <c r="AW99" s="2"/>
      <c r="AX99" s="12" t="s">
        <v>56</v>
      </c>
      <c r="AY99" s="12" t="s">
        <v>69</v>
      </c>
      <c r="AZ99" s="2" t="s">
        <v>58</v>
      </c>
      <c r="BA99" s="2" t="s">
        <v>58</v>
      </c>
      <c r="BB99" s="12" t="s">
        <v>59</v>
      </c>
      <c r="BC99" s="2" t="s">
        <v>60</v>
      </c>
      <c r="BD99" s="2" t="s">
        <v>61</v>
      </c>
      <c r="BE99" s="2" t="s">
        <v>62</v>
      </c>
      <c r="BF99" s="2"/>
      <c r="BG99" s="2"/>
      <c r="BH99" s="2"/>
      <c r="BK99" s="2"/>
      <c r="BL99" s="12" t="s">
        <v>56</v>
      </c>
      <c r="BM99" s="12" t="s">
        <v>69</v>
      </c>
      <c r="BN99" s="2" t="s">
        <v>58</v>
      </c>
      <c r="BO99" s="2" t="s">
        <v>58</v>
      </c>
      <c r="BP99" s="12" t="s">
        <v>59</v>
      </c>
      <c r="BQ99" s="2" t="s">
        <v>60</v>
      </c>
      <c r="BR99" s="2" t="s">
        <v>61</v>
      </c>
      <c r="BS99" s="2" t="s">
        <v>62</v>
      </c>
      <c r="BT99" s="2"/>
      <c r="BU99" s="2"/>
      <c r="BV99" s="2"/>
      <c r="BW99" s="12" t="s">
        <v>56</v>
      </c>
      <c r="BX99" s="12" t="s">
        <v>69</v>
      </c>
      <c r="BY99" s="2" t="s">
        <v>58</v>
      </c>
      <c r="BZ99" s="2" t="s">
        <v>58</v>
      </c>
      <c r="CA99" s="12" t="s">
        <v>59</v>
      </c>
      <c r="CB99" s="2" t="s">
        <v>60</v>
      </c>
      <c r="CC99" s="2" t="s">
        <v>61</v>
      </c>
      <c r="CD99" s="2" t="s">
        <v>62</v>
      </c>
      <c r="CE99" s="2"/>
      <c r="CF99" s="2"/>
      <c r="CG99" s="2"/>
    </row>
    <row r="100" spans="6:85" hidden="1">
      <c r="F100" s="2">
        <v>1</v>
      </c>
      <c r="G100" s="3" t="s">
        <v>16</v>
      </c>
      <c r="H100" s="14">
        <f>IF(I88=1, 0.20237, IF(I88=2, 0.614, IF(I88=3, 0.304, IF(I88=4, 0.189, IF(I88=5, 0.128, IF(I88=6, 0.096, IF(I88=7, 0.096, IF(I88=8, 0.096, IF(I88=9, 0.096,"")))))))))</f>
        <v>0.20236999999999999</v>
      </c>
      <c r="I100" s="3">
        <f>IF((J$8=G100),F100,"")</f>
        <v>1</v>
      </c>
      <c r="J100" s="3">
        <f>IFERROR(SMALL(I$100:I$101,F100),"")</f>
        <v>1</v>
      </c>
      <c r="K100" s="58">
        <v>70</v>
      </c>
      <c r="L100" s="3">
        <f>IF(J$100=F100,J$10*H100*12919)</f>
        <v>1020302780.3877999</v>
      </c>
      <c r="M100" s="3">
        <f>IF(J$100=F100,J$11*H100*12919)</f>
        <v>993478851.39999986</v>
      </c>
      <c r="N100" s="3">
        <f>(((L100-M100)/1000)*0.000001)*J6</f>
        <v>2.6823928987800002E-2</v>
      </c>
      <c r="O100" s="2" t="s">
        <v>63</v>
      </c>
      <c r="P100" s="2"/>
      <c r="Q100" s="2"/>
      <c r="R100" s="2"/>
      <c r="S100" s="2"/>
      <c r="U100" s="2">
        <v>1</v>
      </c>
      <c r="V100" s="3" t="s">
        <v>16</v>
      </c>
      <c r="W100" s="14" t="str">
        <f>IF(X89=1,0.20237, IF(X89=2, 0.614, IF(X89=3,0.304, IF(X89=4,0.189, IF(X89=5, 0.128, IF(X89=6, 0.096, IF(X89=7, 0.096, IF(X89=8, 0.096, IF(X89=9, 0.096,"")))))))))</f>
        <v/>
      </c>
      <c r="X100" s="3" t="str">
        <f>IF((K$8=V100),U100,"")</f>
        <v/>
      </c>
      <c r="Y100" s="3" t="str">
        <f>IFERROR(SMALL(X$100:X$101,U100),"")</f>
        <v/>
      </c>
      <c r="Z100" s="58">
        <v>70</v>
      </c>
      <c r="AA100" s="3" t="b">
        <f>IF(Y$100=U100,K$10*W100*12919)</f>
        <v>0</v>
      </c>
      <c r="AB100" s="3" t="b">
        <f>IF(Y$100=U100,K$11*W100*12919)</f>
        <v>0</v>
      </c>
      <c r="AC100" s="3">
        <f>(((AA100-AB100)/1000)*0.000001)*K6</f>
        <v>0</v>
      </c>
      <c r="AD100" s="2" t="s">
        <v>63</v>
      </c>
      <c r="AE100" s="2"/>
      <c r="AF100" s="2"/>
      <c r="AG100" s="2"/>
      <c r="AH100" s="2"/>
      <c r="AI100" s="2">
        <v>1</v>
      </c>
      <c r="AJ100" s="3" t="s">
        <v>16</v>
      </c>
      <c r="AK100" s="14" t="str">
        <f>IF(AL89=1,0.20237, IF(AL89=2, 0.614, IF(AL89=3,0.304, IF(AL89=4,0.189, IF(AL89=5, 0.128, IF(AL89=6, 0.096, IF(AL89=7, 0.096, IF(AL89=8, 0.096, IF(AL89=9, 0.096,"")))))))))</f>
        <v/>
      </c>
      <c r="AL100" s="3" t="str">
        <f>IF((L$8=AJ100),AI100,"")</f>
        <v/>
      </c>
      <c r="AM100" s="3" t="str">
        <f>IFERROR(SMALL(AL$100:AL$101,AI100),"")</f>
        <v/>
      </c>
      <c r="AN100" s="58">
        <v>70</v>
      </c>
      <c r="AO100" s="3" t="b">
        <f>IF(AM$100=AI100,L$10*AK100*12919)</f>
        <v>0</v>
      </c>
      <c r="AP100" s="3" t="b">
        <f>IF(AM$100=AI100,L$11*AK100*12919)</f>
        <v>0</v>
      </c>
      <c r="AQ100" s="3">
        <f>(((AO100-AP100)/1000)*0.000001)*L6</f>
        <v>0</v>
      </c>
      <c r="AR100" s="2" t="s">
        <v>63</v>
      </c>
      <c r="AS100" s="2"/>
      <c r="AT100" s="2"/>
      <c r="AU100" s="2"/>
      <c r="AW100" s="2">
        <v>1</v>
      </c>
      <c r="AX100" s="3" t="s">
        <v>16</v>
      </c>
      <c r="AY100" s="14" t="str">
        <f>IF(AZ89=1,0.20237, IF(AZ89=2, 0.614, IF(AZ89=3,0.304, IF(AZ89=4,0.189, IF(AZ89=5, 0.128, IF(AZ89=6, 0.096, IF(AZ89=7, 0.096, IF(AZ89=8, 0.096, IF(AZ89=9, 0.096,"")))))))))</f>
        <v/>
      </c>
      <c r="AZ100" s="3" t="str">
        <f>IF((M$8=AX100),AW100,"")</f>
        <v/>
      </c>
      <c r="BA100" s="3" t="str">
        <f>IFERROR(SMALL(AZ$100:AZ$101,AW100),"")</f>
        <v/>
      </c>
      <c r="BB100" s="58">
        <v>70</v>
      </c>
      <c r="BC100" s="3" t="b">
        <f>IF(BA$100=AW100,M$10*AY100*12919)</f>
        <v>0</v>
      </c>
      <c r="BD100" s="3" t="b">
        <f>IF(BA$100=AW100,M$11*AY100*12919)</f>
        <v>0</v>
      </c>
      <c r="BE100" s="3">
        <f>(((BC100-BD100)/1000)*0.000001)*M6</f>
        <v>0</v>
      </c>
      <c r="BF100" s="2" t="s">
        <v>63</v>
      </c>
      <c r="BG100" s="2"/>
      <c r="BH100" s="2"/>
      <c r="BK100" s="2">
        <v>1</v>
      </c>
      <c r="BL100" s="3" t="s">
        <v>16</v>
      </c>
      <c r="BM100" s="14" t="str">
        <f>IF(BN89=1,0.20237, IF(BN89=2, 0.614, IF(BN89=3,0.304, IF(BN89=4,0.189, IF(BN89=5, 0.128, IF(BN89=6, 0.096, IF(BN89=7, 0.096, IF(BN89=8, 0.096, IF(BN89=9, 0.096,"")))))))))</f>
        <v/>
      </c>
      <c r="BN100" s="3" t="str">
        <f>IF((N$8=BL100),BK100,"")</f>
        <v/>
      </c>
      <c r="BO100" s="3" t="str">
        <f>IFERROR(SMALL(BN$100:BN$101,BK100),"")</f>
        <v/>
      </c>
      <c r="BP100" s="58">
        <v>70</v>
      </c>
      <c r="BQ100" s="3" t="b">
        <f>IF(BO$100=BK100,N$10*BM100*12919)</f>
        <v>0</v>
      </c>
      <c r="BR100" s="3" t="b">
        <f>IF(BO$100=BK100,N$11*BM100*12919)</f>
        <v>0</v>
      </c>
      <c r="BS100" s="3">
        <f>(((BQ100-BR100)/1000)*0.000001)*N6</f>
        <v>0</v>
      </c>
      <c r="BT100" s="2" t="s">
        <v>63</v>
      </c>
      <c r="BU100" s="2"/>
      <c r="BV100" s="2">
        <v>1</v>
      </c>
      <c r="BW100" s="3" t="s">
        <v>16</v>
      </c>
      <c r="BX100" s="14" t="str">
        <f>IF(BY89=1,0.20237, IF(BY89=2, 0.614, IF(BY89=3,0.304, IF(BY89=4,0.189, IF(BY89=5, 0.128, IF(BY89=6, 0.096, IF(BY89=7, 0.096, IF(BY89=8, 0.096, IF(BY89=9, 0.096,"")))))))))</f>
        <v/>
      </c>
      <c r="BY100" s="3" t="str">
        <f>IF((O$8=BW100),BV100,"")</f>
        <v/>
      </c>
      <c r="BZ100" s="3" t="str">
        <f>IFERROR(SMALL(BY$100:BY$101,BV100),"")</f>
        <v/>
      </c>
      <c r="CA100" s="58">
        <v>70</v>
      </c>
      <c r="CB100" s="3" t="b">
        <f>IF(BZ$100=BV100,O$10*BX100*12919)</f>
        <v>0</v>
      </c>
      <c r="CC100" s="3" t="b">
        <f>IF(BZ$100=BV100,O$11*BX100*12919)</f>
        <v>0</v>
      </c>
      <c r="CD100" s="3">
        <f>(((CB100-CC100)/1000)*0.000001)*O6</f>
        <v>0</v>
      </c>
      <c r="CE100" s="2" t="s">
        <v>63</v>
      </c>
      <c r="CF100" s="2"/>
      <c r="CG100" s="2"/>
    </row>
    <row r="101" spans="6:85" hidden="1">
      <c r="F101" s="2">
        <v>2</v>
      </c>
      <c r="G101" s="3" t="s">
        <v>64</v>
      </c>
      <c r="H101" s="14">
        <f>IF(I88=1,0.06987, IF(I88=2, 0.141, IF(I88=3, 0.149, IF(I88=4, 0.094, IF(I88=5, 0.035, IF(I88=6, 0.035, IF(I88=7, 0.035, IF(I88=8, 0.035, IF(I88=9, 0.035,"")))))))))</f>
        <v>6.9870000000000002E-2</v>
      </c>
      <c r="I101" s="3" t="str">
        <f>IF((J$8=G101),F101,"")</f>
        <v/>
      </c>
      <c r="J101" s="3" t="str">
        <f>IFERROR(SMALL(I$100:I$101,F101),"")</f>
        <v/>
      </c>
      <c r="K101" s="58">
        <v>80</v>
      </c>
      <c r="L101" s="3" t="b">
        <f>IF(J$100=F101,J$10*H101*20787)</f>
        <v>0</v>
      </c>
      <c r="M101" s="3" t="b">
        <f>IF(J$100=F101,J$11*H101*20787)</f>
        <v>0</v>
      </c>
      <c r="N101" s="3">
        <f>(((L101-M101)/1000)*0.000001)*J6</f>
        <v>0</v>
      </c>
      <c r="O101" s="2" t="s">
        <v>63</v>
      </c>
      <c r="P101" s="2"/>
      <c r="Q101" s="2"/>
      <c r="R101" s="2"/>
      <c r="S101" s="2"/>
      <c r="U101" s="2">
        <v>2</v>
      </c>
      <c r="V101" s="3" t="s">
        <v>64</v>
      </c>
      <c r="W101" s="14" t="str">
        <f>IF(X89=1,0.06987, IF(X89=2, 0.141, IF(X89=3, 0.149, IF(X89=4, 0.094, IF(X89=5, 0.035, IF(X89=6, 0.035, IF(X89=7, 0.035, IF(X89=8, 0.035, IF(X89=9, 0.035,"")))))))))</f>
        <v/>
      </c>
      <c r="X101" s="3" t="str">
        <f>IF((K$8=V101),U101,"")</f>
        <v/>
      </c>
      <c r="Y101" s="3" t="str">
        <f>IFERROR(SMALL(X$100:X$101,U101),"")</f>
        <v/>
      </c>
      <c r="Z101" s="58">
        <v>80</v>
      </c>
      <c r="AA101" s="3" t="b">
        <f>IF(Y$100=U101,K$10*W101*20787)</f>
        <v>0</v>
      </c>
      <c r="AB101" s="3" t="b">
        <f>IF(Y$100=U101,K$11*W101*20787)</f>
        <v>0</v>
      </c>
      <c r="AC101" s="3">
        <f>(((AA101-AB101)/1000)*0.000001)*K6</f>
        <v>0</v>
      </c>
      <c r="AD101" s="2" t="s">
        <v>63</v>
      </c>
      <c r="AE101" s="2"/>
      <c r="AF101" s="2"/>
      <c r="AG101" s="2"/>
      <c r="AH101" s="2"/>
      <c r="AI101" s="2">
        <v>2</v>
      </c>
      <c r="AJ101" s="3" t="s">
        <v>64</v>
      </c>
      <c r="AK101" s="14" t="str">
        <f>IF(AL89=1,0.06987, IF(AL89=2, 0.141, IF(AL89=3, 0.149, IF(AL89=4, 0.094, IF(AL89=5, 0.035, IF(AL89=6, 0.035, IF(AL89=7, 0.035, IF(AL89=8, 0.035, IF(AL89=9, 0.035,"")))))))))</f>
        <v/>
      </c>
      <c r="AL101" s="3" t="str">
        <f>IF((L$8=AJ101),AI101,"")</f>
        <v/>
      </c>
      <c r="AM101" s="3" t="str">
        <f>IFERROR(SMALL(AL$100:AL$101,AI101),"")</f>
        <v/>
      </c>
      <c r="AN101" s="58">
        <v>80</v>
      </c>
      <c r="AO101" s="3" t="b">
        <f>IF(AM$100=AI101,L$10*AK101*20787)</f>
        <v>0</v>
      </c>
      <c r="AP101" s="3" t="b">
        <f>IF(AM$100=AI101,L$11*AK101*20787)</f>
        <v>0</v>
      </c>
      <c r="AQ101" s="3">
        <f>(((AO101-AP101)/1000)*0.000001)*L6</f>
        <v>0</v>
      </c>
      <c r="AR101" s="2" t="s">
        <v>63</v>
      </c>
      <c r="AS101" s="2"/>
      <c r="AT101" s="2"/>
      <c r="AU101" s="2"/>
      <c r="AW101" s="2">
        <v>2</v>
      </c>
      <c r="AX101" s="3" t="s">
        <v>64</v>
      </c>
      <c r="AY101" s="14" t="str">
        <f>IF(AZ89=1,0.06987, IF(AZ89=2, 0.141, IF(AZ89=3, 0.149, IF(AZ89=4, 0.094, IF(AZ89=5, 0.035, IF(AZ89=6, 0.035, IF(AZ89=7, 0.035, IF(AZ89=8, 0.035, IF(AZ89=9, 0.035,"")))))))))</f>
        <v/>
      </c>
      <c r="AZ101" s="3" t="str">
        <f>IF((M$8=AX101),AW101,"")</f>
        <v/>
      </c>
      <c r="BA101" s="3" t="str">
        <f>IFERROR(SMALL(AZ$100:AZ$101,AW101),"")</f>
        <v/>
      </c>
      <c r="BB101" s="58">
        <v>80</v>
      </c>
      <c r="BC101" s="3" t="b">
        <f>IF(BA$100=AW101,M$10*AY101*20787)</f>
        <v>0</v>
      </c>
      <c r="BD101" s="3" t="b">
        <f>IF(BA$100=AW101,M$11*AY101*20787)</f>
        <v>0</v>
      </c>
      <c r="BE101" s="3">
        <f>(((BC101-BD101)/1000)*0.000001)*M6</f>
        <v>0</v>
      </c>
      <c r="BF101" s="2" t="s">
        <v>63</v>
      </c>
      <c r="BG101" s="2"/>
      <c r="BH101" s="2"/>
      <c r="BK101" s="2">
        <v>2</v>
      </c>
      <c r="BL101" s="3" t="s">
        <v>64</v>
      </c>
      <c r="BM101" s="14" t="str">
        <f>IF(BN89=1,0.06987, IF(BN89=2, 0.141, IF(BN89=3, 0.149, IF(BN89=4, 0.094, IF(BN89=5, 0.035, IF(BN89=6, 0.035, IF(BN89=7, 0.035, IF(BN89=8, 0.035, IF(BN89=9, 0.035,"")))))))))</f>
        <v/>
      </c>
      <c r="BN101" s="3" t="str">
        <f>IF((N$8=BL101),BK101,"")</f>
        <v/>
      </c>
      <c r="BO101" s="3" t="str">
        <f>IFERROR(SMALL(BN$100:BN$101,BK101),"")</f>
        <v/>
      </c>
      <c r="BP101" s="58">
        <v>80</v>
      </c>
      <c r="BQ101" s="3" t="b">
        <f>IF(BO$100=BK101,N$10*BM101*20787)</f>
        <v>0</v>
      </c>
      <c r="BR101" s="3" t="b">
        <f>IF(BO$100=BK101,N$11*BM101*20787)</f>
        <v>0</v>
      </c>
      <c r="BS101" s="3">
        <f>(((BQ101-BR101)/1000)*0.000001)*N6</f>
        <v>0</v>
      </c>
      <c r="BT101" s="2" t="s">
        <v>63</v>
      </c>
      <c r="BU101" s="2"/>
      <c r="BV101" s="2">
        <v>2</v>
      </c>
      <c r="BW101" s="3" t="s">
        <v>64</v>
      </c>
      <c r="BX101" s="14" t="str">
        <f>IF(BY89=1,0.06987, IF(BY89=2, 0.141, IF(BY89=3, 0.149, IF(BY89=4, 0.094, IF(BY89=5, 0.035, IF(BY89=6, 0.035, IF(BY89=7, 0.035, IF(BY89=8, 0.035, IF(BY89=9, 0.035,"")))))))))</f>
        <v/>
      </c>
      <c r="BY101" s="3" t="str">
        <f>IF((O$8=BW101),BV101,"")</f>
        <v/>
      </c>
      <c r="BZ101" s="3" t="str">
        <f>IFERROR(SMALL(BY$100:BY$101,BV101),"")</f>
        <v/>
      </c>
      <c r="CA101" s="58">
        <v>80</v>
      </c>
      <c r="CB101" s="3" t="b">
        <f>IF(BZ$100=BV101,O$10*BX101*20787)</f>
        <v>0</v>
      </c>
      <c r="CC101" s="3" t="b">
        <f>IF(BZ$100=BV101,O$11*BX101*20787)</f>
        <v>0</v>
      </c>
      <c r="CD101" s="3">
        <f>(((CB101-CC101)/1000)*0.000001)*O6</f>
        <v>0</v>
      </c>
      <c r="CE101" s="2" t="s">
        <v>63</v>
      </c>
      <c r="CF101" s="2"/>
      <c r="CG101" s="2"/>
    </row>
    <row r="102" spans="6:85" hidden="1">
      <c r="F102" s="2">
        <v>3</v>
      </c>
      <c r="G102" s="17" t="s">
        <v>11</v>
      </c>
      <c r="H102" s="2"/>
      <c r="I102" s="2"/>
      <c r="J102" s="2"/>
      <c r="K102" s="2"/>
      <c r="L102" s="2"/>
      <c r="M102" s="2"/>
      <c r="N102" s="2"/>
      <c r="O102" s="2"/>
      <c r="P102" s="2"/>
      <c r="Q102" s="2"/>
      <c r="R102" s="2"/>
      <c r="S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W102" s="2"/>
      <c r="AX102" s="2"/>
      <c r="AY102" s="2"/>
      <c r="AZ102" s="2"/>
      <c r="BA102" s="2"/>
      <c r="BB102" s="2"/>
      <c r="BC102" s="2"/>
      <c r="BD102" s="2"/>
      <c r="BE102" s="2"/>
      <c r="BF102" s="2"/>
      <c r="BG102" s="2"/>
      <c r="BH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row>
    <row r="103" spans="6:85" hidden="1">
      <c r="F103" s="2"/>
      <c r="G103" s="12" t="s">
        <v>56</v>
      </c>
      <c r="H103" s="12" t="s">
        <v>70</v>
      </c>
      <c r="I103" s="2" t="s">
        <v>58</v>
      </c>
      <c r="J103" s="2" t="s">
        <v>58</v>
      </c>
      <c r="K103" s="12" t="s">
        <v>59</v>
      </c>
      <c r="L103" s="2" t="s">
        <v>60</v>
      </c>
      <c r="M103" s="2" t="s">
        <v>61</v>
      </c>
      <c r="N103" s="2" t="s">
        <v>62</v>
      </c>
      <c r="O103" s="2"/>
      <c r="P103" s="2"/>
      <c r="Q103" s="2"/>
      <c r="R103" s="2"/>
      <c r="S103" s="2"/>
      <c r="U103" s="2"/>
      <c r="V103" s="12" t="s">
        <v>56</v>
      </c>
      <c r="W103" s="12" t="s">
        <v>70</v>
      </c>
      <c r="X103" s="2" t="s">
        <v>58</v>
      </c>
      <c r="Y103" s="2" t="s">
        <v>58</v>
      </c>
      <c r="Z103" s="12" t="s">
        <v>59</v>
      </c>
      <c r="AA103" s="2" t="s">
        <v>60</v>
      </c>
      <c r="AB103" s="2" t="s">
        <v>61</v>
      </c>
      <c r="AC103" s="2" t="s">
        <v>62</v>
      </c>
      <c r="AD103" s="2"/>
      <c r="AE103" s="2"/>
      <c r="AF103" s="2"/>
      <c r="AG103" s="2"/>
      <c r="AH103" s="2"/>
      <c r="AI103" s="2"/>
      <c r="AJ103" s="12" t="s">
        <v>56</v>
      </c>
      <c r="AK103" s="12" t="s">
        <v>70</v>
      </c>
      <c r="AL103" s="2" t="s">
        <v>58</v>
      </c>
      <c r="AM103" s="2" t="s">
        <v>58</v>
      </c>
      <c r="AN103" s="12" t="s">
        <v>59</v>
      </c>
      <c r="AO103" s="2" t="s">
        <v>60</v>
      </c>
      <c r="AP103" s="2" t="s">
        <v>61</v>
      </c>
      <c r="AQ103" s="2" t="s">
        <v>62</v>
      </c>
      <c r="AR103" s="2"/>
      <c r="AS103" s="2"/>
      <c r="AT103" s="2"/>
      <c r="AU103" s="2"/>
      <c r="AW103" s="2"/>
      <c r="AX103" s="12" t="s">
        <v>56</v>
      </c>
      <c r="AY103" s="12" t="s">
        <v>70</v>
      </c>
      <c r="AZ103" s="2" t="s">
        <v>58</v>
      </c>
      <c r="BA103" s="2" t="s">
        <v>58</v>
      </c>
      <c r="BB103" s="12" t="s">
        <v>59</v>
      </c>
      <c r="BC103" s="2" t="s">
        <v>60</v>
      </c>
      <c r="BD103" s="2" t="s">
        <v>61</v>
      </c>
      <c r="BE103" s="2" t="s">
        <v>62</v>
      </c>
      <c r="BF103" s="2"/>
      <c r="BG103" s="2"/>
      <c r="BH103" s="2"/>
      <c r="BK103" s="2"/>
      <c r="BL103" s="12" t="s">
        <v>56</v>
      </c>
      <c r="BM103" s="12" t="s">
        <v>70</v>
      </c>
      <c r="BN103" s="2" t="s">
        <v>58</v>
      </c>
      <c r="BO103" s="2" t="s">
        <v>58</v>
      </c>
      <c r="BP103" s="12" t="s">
        <v>59</v>
      </c>
      <c r="BQ103" s="2" t="s">
        <v>60</v>
      </c>
      <c r="BR103" s="2" t="s">
        <v>61</v>
      </c>
      <c r="BS103" s="2" t="s">
        <v>62</v>
      </c>
      <c r="BT103" s="2"/>
      <c r="BU103" s="2"/>
      <c r="BV103" s="2"/>
      <c r="BW103" s="12" t="s">
        <v>56</v>
      </c>
      <c r="BX103" s="12" t="s">
        <v>70</v>
      </c>
      <c r="BY103" s="2" t="s">
        <v>58</v>
      </c>
      <c r="BZ103" s="2" t="s">
        <v>58</v>
      </c>
      <c r="CA103" s="12" t="s">
        <v>59</v>
      </c>
      <c r="CB103" s="2" t="s">
        <v>60</v>
      </c>
      <c r="CC103" s="2" t="s">
        <v>61</v>
      </c>
      <c r="CD103" s="2" t="s">
        <v>62</v>
      </c>
      <c r="CE103" s="2"/>
      <c r="CF103" s="2"/>
      <c r="CG103" s="2"/>
    </row>
    <row r="104" spans="6:85" hidden="1">
      <c r="F104" s="2">
        <v>1</v>
      </c>
      <c r="G104" s="3" t="s">
        <v>16</v>
      </c>
      <c r="H104" s="14">
        <f>IF(I88=1,0.15525, IF(I88=2, 0.563, IF(I88=3, 0.23, IF(I88=4, 0.129, IF(I88=5, 0.064, IF(I88=6, 0.064, IF(I88=7, 0.064, IF(I88=8, 0.064, IF(I88=9, 0.064,"")))))))))</f>
        <v>0.15525</v>
      </c>
      <c r="I104" s="3">
        <f>IF((J$8=G104),F104,"")</f>
        <v>1</v>
      </c>
      <c r="J104" s="3">
        <f>IFERROR(SMALL(I$104:I$105,F104),"")</f>
        <v>1</v>
      </c>
      <c r="K104" s="58">
        <v>70</v>
      </c>
      <c r="L104" s="3">
        <f>IF(J$104=F104,J$10*H104*12919)</f>
        <v>782734627.93499994</v>
      </c>
      <c r="M104" s="3">
        <f>IF(J$104=F104,J$11*H104*12919)</f>
        <v>762156405</v>
      </c>
      <c r="N104" s="3">
        <f>(((L104-M104)/1000)*0.000001)*J6</f>
        <v>2.0578222934999942E-2</v>
      </c>
      <c r="O104" s="2" t="s">
        <v>63</v>
      </c>
      <c r="P104" s="2"/>
      <c r="Q104" s="2"/>
      <c r="R104" s="2"/>
      <c r="S104" s="2"/>
      <c r="U104" s="2">
        <v>1</v>
      </c>
      <c r="V104" s="3" t="s">
        <v>16</v>
      </c>
      <c r="W104" s="14" t="str">
        <f>IF(X89=1,0.15525, IF(X89=2, 0.563, IF(X89=3, 0.23, IF(X89=4, 0.129, IF(X89=5, 0.064, IF(X89=6, 0.064, IF(X89=7, 0.064, IF(X89=8, 0.064, IF(X89=9, 0.064,"")))))))))</f>
        <v/>
      </c>
      <c r="X104" s="3" t="str">
        <f>IF((K$8=V104),U104,"")</f>
        <v/>
      </c>
      <c r="Y104" s="3" t="str">
        <f>IFERROR(SMALL(X$104:X$105,U104),"")</f>
        <v/>
      </c>
      <c r="Z104" s="58">
        <v>70</v>
      </c>
      <c r="AA104" s="3" t="b">
        <f>IF(Y$104=U104,K$10*W104*12919)</f>
        <v>0</v>
      </c>
      <c r="AB104" s="3" t="b">
        <f>IF(Y$104=U104,K$11*W104*12919)</f>
        <v>0</v>
      </c>
      <c r="AC104" s="3">
        <f>(((AA104-AB104)/1000)*0.000001)*K6</f>
        <v>0</v>
      </c>
      <c r="AD104" s="2" t="s">
        <v>63</v>
      </c>
      <c r="AE104" s="2"/>
      <c r="AF104" s="2"/>
      <c r="AG104" s="2"/>
      <c r="AH104" s="2"/>
      <c r="AI104" s="2">
        <v>1</v>
      </c>
      <c r="AJ104" s="3" t="s">
        <v>16</v>
      </c>
      <c r="AK104" s="14" t="str">
        <f>IF(AL89=1,0.15525, IF(AL89=2, 0.563, IF(AL89=3, 0.23, IF(AL89=4, 0.129, IF(AL89=5, 0.064, IF(AL89=6, 0.064, IF(AL89=7, 0.064, IF(AL89=8, 0.064, IF(AL89=9, 0.064,"")))))))))</f>
        <v/>
      </c>
      <c r="AL104" s="3" t="str">
        <f>IF((L$8=AJ104),AI104,"")</f>
        <v/>
      </c>
      <c r="AM104" s="3" t="str">
        <f>IFERROR(SMALL(AL$104:AL$105,AI104),"")</f>
        <v/>
      </c>
      <c r="AN104" s="58">
        <v>70</v>
      </c>
      <c r="AO104" s="3" t="b">
        <f>IF(AM$104=AI104,L$10*AK104*12919)</f>
        <v>0</v>
      </c>
      <c r="AP104" s="3" t="b">
        <f>IF(AM$104=AI104,L$11*AK104*12919)</f>
        <v>0</v>
      </c>
      <c r="AQ104" s="3">
        <f>(((AO104-AP104)/1000)*0.000001)*L6</f>
        <v>0</v>
      </c>
      <c r="AR104" s="2" t="s">
        <v>63</v>
      </c>
      <c r="AS104" s="2"/>
      <c r="AT104" s="2"/>
      <c r="AU104" s="2"/>
      <c r="AW104" s="2">
        <v>1</v>
      </c>
      <c r="AX104" s="3" t="s">
        <v>16</v>
      </c>
      <c r="AY104" s="14" t="str">
        <f>IF(AZ89=1,0.15525, IF(AZ89=2, 0.563, IF(AZ89=3, 0.23, IF(AZ89=4, 0.129, IF(AZ89=5, 0.064, IF(AZ89=6, 0.064, IF(AZ89=7, 0.064, IF(AZ89=8, 0.064, IF(AZ89=9, 0.064,"")))))))))</f>
        <v/>
      </c>
      <c r="AZ104" s="3" t="str">
        <f>IF((M$8=AX104),AW104,"")</f>
        <v/>
      </c>
      <c r="BA104" s="3" t="str">
        <f>IFERROR(SMALL(AZ$104:AZ$105,AW104),"")</f>
        <v/>
      </c>
      <c r="BB104" s="58">
        <v>70</v>
      </c>
      <c r="BC104" s="3" t="b">
        <f>IF(BA$104=AW104,M$10*AY104*12919)</f>
        <v>0</v>
      </c>
      <c r="BD104" s="3" t="b">
        <f>IF(BA$104=AW104,M$11*AY104*12919)</f>
        <v>0</v>
      </c>
      <c r="BE104" s="3">
        <f>(((BC104-BD104)/1000)*0.000001)*M6</f>
        <v>0</v>
      </c>
      <c r="BF104" s="2" t="s">
        <v>63</v>
      </c>
      <c r="BG104" s="2"/>
      <c r="BH104" s="2"/>
      <c r="BK104" s="2">
        <v>1</v>
      </c>
      <c r="BL104" s="3" t="s">
        <v>16</v>
      </c>
      <c r="BM104" s="14" t="str">
        <f>IF(BN89=1,0.15525, IF(BN89=2, 0.563, IF(BN89=3, 0.23, IF(BN89=4, 0.129, IF(BN89=5, 0.064, IF(BN89=6, 0.064, IF(BN89=7, 0.064, IF(BN89=8, 0.064, IF(BN89=9, 0.064,"")))))))))</f>
        <v/>
      </c>
      <c r="BN104" s="3" t="str">
        <f>IF((N$8=BL104),BK104,"")</f>
        <v/>
      </c>
      <c r="BO104" s="3" t="str">
        <f>IFERROR(SMALL(BN$104:BN$105,BK104),"")</f>
        <v/>
      </c>
      <c r="BP104" s="58">
        <v>70</v>
      </c>
      <c r="BQ104" s="3" t="b">
        <f>IF(BO$104=BK104,N$10*BM104*12919)</f>
        <v>0</v>
      </c>
      <c r="BR104" s="3" t="b">
        <f>IF(BO$104=BK104,N$11*BM104*12919)</f>
        <v>0</v>
      </c>
      <c r="BS104" s="3">
        <f>(((BQ104-BR104)/1000)*0.000001)*N6</f>
        <v>0</v>
      </c>
      <c r="BT104" s="2" t="s">
        <v>63</v>
      </c>
      <c r="BU104" s="2"/>
      <c r="BV104" s="2">
        <v>1</v>
      </c>
      <c r="BW104" s="3" t="s">
        <v>16</v>
      </c>
      <c r="BX104" s="14" t="str">
        <f>IF(BY89=1,0.15525, IF(BY89=2, 0.563, IF(BY89=3, 0.23, IF(BY89=4, 0.129, IF(BY89=5, 0.064, IF(BY89=6, 0.064, IF(BY89=7, 0.064, IF(BY89=8, 0.064, IF(BY89=9, 0.064,"")))))))))</f>
        <v/>
      </c>
      <c r="BY104" s="3" t="str">
        <f>IF((O$8=BW104),BV104,"")</f>
        <v/>
      </c>
      <c r="BZ104" s="3" t="str">
        <f>IFERROR(SMALL(BY$104:BY$105,BV104),"")</f>
        <v/>
      </c>
      <c r="CA104" s="58">
        <v>70</v>
      </c>
      <c r="CB104" s="3" t="b">
        <f>IF(BZ$104=BV104,O$10*BX104*12919)</f>
        <v>0</v>
      </c>
      <c r="CC104" s="3" t="b">
        <f>IF(BZ$104=BV104,O$11*BX104*12919)</f>
        <v>0</v>
      </c>
      <c r="CD104" s="3">
        <f>(((CB104-CC104)/1000)*0.000001)*O6</f>
        <v>0</v>
      </c>
      <c r="CE104" s="2" t="s">
        <v>63</v>
      </c>
      <c r="CF104" s="2"/>
      <c r="CG104" s="2"/>
    </row>
    <row r="105" spans="6:85" hidden="1">
      <c r="F105" s="2">
        <v>2</v>
      </c>
      <c r="G105" s="3" t="s">
        <v>64</v>
      </c>
      <c r="H105" s="14">
        <f>IF(I88=1,0.89437, IF(I88=2, 1.22, IF(I88=3, 1.22, IF(I88=4, 1.03, IF(I88=5, 0.831, IF(I88=6, 1.15, IF(I88=7, 0.96, IF(I88=8, 0.496, IF(I88=9, 0.248,"")))))))))</f>
        <v>0.89437</v>
      </c>
      <c r="I105" s="3" t="str">
        <f>IF((J$8=G105),F105,"")</f>
        <v/>
      </c>
      <c r="J105" s="3" t="str">
        <f>IFERROR(SMALL(I$104:I$105,F105),"")</f>
        <v/>
      </c>
      <c r="K105" s="58">
        <v>80</v>
      </c>
      <c r="L105" s="3" t="b">
        <f>IF(J$104=F105,J$10*H105*20787)</f>
        <v>0</v>
      </c>
      <c r="M105" s="3" t="b">
        <f>IF(J$104=F105,J$11*H105*20787)</f>
        <v>0</v>
      </c>
      <c r="N105" s="3">
        <f>(((L105-M105)/1000)*0.000001)*J6</f>
        <v>0</v>
      </c>
      <c r="O105" s="2" t="s">
        <v>63</v>
      </c>
      <c r="P105" s="2"/>
      <c r="Q105" s="2"/>
      <c r="R105" s="2"/>
      <c r="S105" s="2"/>
      <c r="U105" s="2">
        <v>2</v>
      </c>
      <c r="V105" s="3" t="s">
        <v>64</v>
      </c>
      <c r="W105" s="14" t="str">
        <f>IF(X89=1,0.89437, IF(X89=2, 1.22, IF(X89=3, 1.22, IF(X89=4, 1.03, IF(X89=5, 0.831, IF(X89=6, 1.15, IF(X89=7, 0.96, IF(X89=8, 0.496, IF(X89=9, 0.248,"")))))))))</f>
        <v/>
      </c>
      <c r="X105" s="3" t="str">
        <f>IF((K$8=V105),U105,"")</f>
        <v/>
      </c>
      <c r="Y105" s="3" t="str">
        <f>IFERROR(SMALL(X$104:X$105,U105),"")</f>
        <v/>
      </c>
      <c r="Z105" s="58">
        <v>80</v>
      </c>
      <c r="AA105" s="3" t="b">
        <f>IF(Y$104=U105,K$10*W105*20787)</f>
        <v>0</v>
      </c>
      <c r="AB105" s="3" t="b">
        <f>IF(Y$104=U105,K$11*W105*20787)</f>
        <v>0</v>
      </c>
      <c r="AC105" s="3">
        <f>(((AA105-AB105)/1000)*0.000001)*K6</f>
        <v>0</v>
      </c>
      <c r="AD105" s="2" t="s">
        <v>63</v>
      </c>
      <c r="AE105" s="2"/>
      <c r="AF105" s="2"/>
      <c r="AG105" s="2"/>
      <c r="AH105" s="2"/>
      <c r="AI105" s="2">
        <v>2</v>
      </c>
      <c r="AJ105" s="3" t="s">
        <v>64</v>
      </c>
      <c r="AK105" s="14" t="str">
        <f>IF(AL89=1,0.89437, IF(AL89=2, 1.22, IF(AL89=3, 1.22, IF(AL89=4, 1.03, IF(AL89=5, 0.831, IF(AL89=6, 1.15, IF(AL89=7, 0.96, IF(AL89=8, 0.496, IF(AL89=9, 0.248,"")))))))))</f>
        <v/>
      </c>
      <c r="AL105" s="3" t="str">
        <f>IF((L$8=AJ105),AI105,"")</f>
        <v/>
      </c>
      <c r="AM105" s="3" t="str">
        <f>IFERROR(SMALL(AL$104:AL$105,AI105),"")</f>
        <v/>
      </c>
      <c r="AN105" s="58">
        <v>80</v>
      </c>
      <c r="AO105" s="3" t="b">
        <f>IF(AM$104=AI105,L$10*AK105*20787)</f>
        <v>0</v>
      </c>
      <c r="AP105" s="3" t="b">
        <f>IF(AM$104=AI105,L$11*AK105*20787)</f>
        <v>0</v>
      </c>
      <c r="AQ105" s="3">
        <f>(((AO105-AP105)/1000)*0.000001)*L6</f>
        <v>0</v>
      </c>
      <c r="AR105" s="2" t="s">
        <v>63</v>
      </c>
      <c r="AS105" s="2"/>
      <c r="AT105" s="2"/>
      <c r="AU105" s="2"/>
      <c r="AW105" s="2">
        <v>2</v>
      </c>
      <c r="AX105" s="3" t="s">
        <v>64</v>
      </c>
      <c r="AY105" s="14" t="str">
        <f>IF(AZ89=1,0.89437, IF(AZ89=2, 1.22, IF(AZ89=3, 1.22, IF(AZ89=4, 1.03, IF(AZ89=5, 0.831, IF(AZ89=6, 1.15, IF(AZ89=7, 0.96, IF(AZ89=8, 0.496, IF(AZ89=9, 0.248,"")))))))))</f>
        <v/>
      </c>
      <c r="AZ105" s="3" t="str">
        <f>IF((M$8=AX105),AW105,"")</f>
        <v/>
      </c>
      <c r="BA105" s="3" t="str">
        <f>IFERROR(SMALL(AZ$104:AZ$105,AW105),"")</f>
        <v/>
      </c>
      <c r="BB105" s="58">
        <v>80</v>
      </c>
      <c r="BC105" s="3" t="b">
        <f>IF(BA$104=AW105,M$10*AY105*20787)</f>
        <v>0</v>
      </c>
      <c r="BD105" s="3" t="b">
        <f>IF(BA$104=AW105,M$11*AY105*20787)</f>
        <v>0</v>
      </c>
      <c r="BE105" s="3">
        <f>(((BC105-BD105)/1000)*0.000001)*M6</f>
        <v>0</v>
      </c>
      <c r="BF105" s="2" t="s">
        <v>63</v>
      </c>
      <c r="BG105" s="2"/>
      <c r="BH105" s="2"/>
      <c r="BK105" s="2">
        <v>2</v>
      </c>
      <c r="BL105" s="3" t="s">
        <v>64</v>
      </c>
      <c r="BM105" s="14" t="str">
        <f>IF(BN89=1,0.89437, IF(BN89=2, 1.22, IF(BN89=3, 1.22, IF(BN89=4, 1.03, IF(BN89=5, 0.831, IF(BN89=6, 1.15, IF(BN89=7, 0.96, IF(BN89=8, 0.496, IF(BN89=9, 0.248,"")))))))))</f>
        <v/>
      </c>
      <c r="BN105" s="3" t="str">
        <f>IF((N$8=BL105),BK105,"")</f>
        <v/>
      </c>
      <c r="BO105" s="3" t="str">
        <f>IFERROR(SMALL(BN$104:BN$105,BK105),"")</f>
        <v/>
      </c>
      <c r="BP105" s="58">
        <v>80</v>
      </c>
      <c r="BQ105" s="3" t="b">
        <f>IF(BO$104=BK105,N$10*BM105*20787)</f>
        <v>0</v>
      </c>
      <c r="BR105" s="3" t="b">
        <f>IF(BO$104=BK105,N$11*BM105*20787)</f>
        <v>0</v>
      </c>
      <c r="BS105" s="3">
        <f>(((BQ105-BR105)/1000)*0.000001)*N6</f>
        <v>0</v>
      </c>
      <c r="BT105" s="2" t="s">
        <v>63</v>
      </c>
      <c r="BU105" s="2"/>
      <c r="BV105" s="2">
        <v>2</v>
      </c>
      <c r="BW105" s="3" t="s">
        <v>64</v>
      </c>
      <c r="BX105" s="14" t="str">
        <f>IF(BY89=1,0.89437, IF(BY89=2, 1.22, IF(BY89=3, 1.22, IF(BY89=4, 1.03, IF(BY89=5, 0.831, IF(BY89=6, 1.15, IF(BY89=7, 0.96, IF(BY89=8, 0.496, IF(BY89=9, 0.248,"")))))))))</f>
        <v/>
      </c>
      <c r="BY105" s="3" t="str">
        <f>IF((O$8=BW105),BV105,"")</f>
        <v/>
      </c>
      <c r="BZ105" s="3" t="str">
        <f>IFERROR(SMALL(BY$104:BY$105,BV105),"")</f>
        <v/>
      </c>
      <c r="CA105" s="58">
        <v>80</v>
      </c>
      <c r="CB105" s="3" t="b">
        <f>IF(BZ$104=BV105,O$10*BX105*20787)</f>
        <v>0</v>
      </c>
      <c r="CC105" s="3" t="b">
        <f>IF(BZ$104=BV105,O$11*BX105*20787)</f>
        <v>0</v>
      </c>
      <c r="CD105" s="3">
        <f>(((CB105-CC105)/1000)*0.000001)*O6</f>
        <v>0</v>
      </c>
      <c r="CE105" s="2" t="s">
        <v>63</v>
      </c>
      <c r="CF105" s="2"/>
      <c r="CG105" s="2"/>
    </row>
    <row r="106" spans="6:85" hidden="1">
      <c r="F106" s="2"/>
      <c r="G106" s="2"/>
      <c r="H106" s="2"/>
      <c r="I106" s="2"/>
      <c r="J106" s="2"/>
      <c r="K106" s="2"/>
      <c r="L106" s="2"/>
      <c r="M106" s="2"/>
      <c r="N106" s="2"/>
      <c r="O106" s="2"/>
      <c r="P106" s="2"/>
      <c r="Q106" s="2"/>
      <c r="R106" s="2"/>
      <c r="S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W106" s="2"/>
      <c r="AX106" s="2"/>
      <c r="AY106" s="2"/>
      <c r="AZ106" s="2"/>
      <c r="BA106" s="2"/>
      <c r="BB106" s="2"/>
      <c r="BC106" s="2"/>
      <c r="BD106" s="2"/>
      <c r="BE106" s="2"/>
      <c r="BF106" s="2"/>
      <c r="BG106" s="2"/>
      <c r="BH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row>
    <row r="107" spans="6:85" hidden="1">
      <c r="F107" s="2"/>
      <c r="G107" s="2"/>
      <c r="H107" s="2"/>
      <c r="I107" s="2"/>
      <c r="J107" s="2"/>
      <c r="K107" s="2"/>
      <c r="L107" s="2"/>
      <c r="M107" s="2"/>
      <c r="N107" s="2"/>
      <c r="O107" s="2"/>
      <c r="P107" s="2"/>
      <c r="Q107" s="2"/>
      <c r="R107" s="2"/>
      <c r="S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W107" s="2"/>
      <c r="AX107" s="2"/>
      <c r="AY107" s="2"/>
      <c r="AZ107" s="2"/>
      <c r="BA107" s="2"/>
      <c r="BB107" s="2"/>
      <c r="BC107" s="2"/>
      <c r="BD107" s="2"/>
      <c r="BE107" s="2"/>
      <c r="BF107" s="2"/>
      <c r="BG107" s="2"/>
      <c r="BH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row>
    <row r="108" spans="6:85" hidden="1">
      <c r="F108" s="2"/>
      <c r="G108" s="12" t="s">
        <v>56</v>
      </c>
      <c r="H108" s="12" t="s">
        <v>57</v>
      </c>
      <c r="I108" s="2" t="s">
        <v>58</v>
      </c>
      <c r="J108" s="2" t="s">
        <v>58</v>
      </c>
      <c r="K108" s="12" t="s">
        <v>59</v>
      </c>
      <c r="L108" s="2" t="s">
        <v>60</v>
      </c>
      <c r="M108" s="2" t="s">
        <v>61</v>
      </c>
      <c r="N108" s="2" t="s">
        <v>62</v>
      </c>
      <c r="O108" s="2"/>
      <c r="P108" s="2"/>
      <c r="Q108" s="2"/>
      <c r="R108" s="2"/>
      <c r="S108" s="2"/>
      <c r="U108" s="2"/>
      <c r="V108" s="12" t="s">
        <v>56</v>
      </c>
      <c r="W108" s="12" t="s">
        <v>57</v>
      </c>
      <c r="X108" s="2" t="s">
        <v>58</v>
      </c>
      <c r="Y108" s="2" t="s">
        <v>58</v>
      </c>
      <c r="Z108" s="12" t="s">
        <v>59</v>
      </c>
      <c r="AA108" s="2" t="s">
        <v>60</v>
      </c>
      <c r="AB108" s="2" t="s">
        <v>61</v>
      </c>
      <c r="AC108" s="2" t="s">
        <v>62</v>
      </c>
      <c r="AD108" s="2"/>
      <c r="AE108" s="2"/>
      <c r="AF108" s="2"/>
      <c r="AG108" s="2"/>
      <c r="AH108" s="2"/>
      <c r="AI108" s="2"/>
      <c r="AJ108" s="12" t="s">
        <v>56</v>
      </c>
      <c r="AK108" s="12" t="s">
        <v>57</v>
      </c>
      <c r="AL108" s="2" t="s">
        <v>58</v>
      </c>
      <c r="AM108" s="2" t="s">
        <v>58</v>
      </c>
      <c r="AN108" s="12" t="s">
        <v>59</v>
      </c>
      <c r="AO108" s="2" t="s">
        <v>60</v>
      </c>
      <c r="AP108" s="2" t="s">
        <v>61</v>
      </c>
      <c r="AQ108" s="2" t="s">
        <v>62</v>
      </c>
      <c r="AR108" s="2"/>
      <c r="AS108" s="2"/>
      <c r="AT108" s="2"/>
      <c r="AU108" s="2"/>
      <c r="AW108" s="2"/>
      <c r="AX108" s="12" t="s">
        <v>56</v>
      </c>
      <c r="AY108" s="12" t="s">
        <v>57</v>
      </c>
      <c r="AZ108" s="2" t="s">
        <v>58</v>
      </c>
      <c r="BA108" s="2" t="s">
        <v>58</v>
      </c>
      <c r="BB108" s="12" t="s">
        <v>59</v>
      </c>
      <c r="BC108" s="2" t="s">
        <v>60</v>
      </c>
      <c r="BD108" s="2" t="s">
        <v>61</v>
      </c>
      <c r="BE108" s="2" t="s">
        <v>62</v>
      </c>
      <c r="BF108" s="2"/>
      <c r="BG108" s="2"/>
      <c r="BH108" s="2"/>
      <c r="BK108" s="2"/>
      <c r="BL108" s="12" t="s">
        <v>56</v>
      </c>
      <c r="BM108" s="12" t="s">
        <v>57</v>
      </c>
      <c r="BN108" s="2" t="s">
        <v>58</v>
      </c>
      <c r="BO108" s="2" t="s">
        <v>58</v>
      </c>
      <c r="BP108" s="12" t="s">
        <v>59</v>
      </c>
      <c r="BQ108" s="2" t="s">
        <v>60</v>
      </c>
      <c r="BR108" s="2" t="s">
        <v>61</v>
      </c>
      <c r="BS108" s="2" t="s">
        <v>62</v>
      </c>
      <c r="BT108" s="2"/>
      <c r="BU108" s="2"/>
      <c r="BV108" s="2"/>
      <c r="BW108" s="12" t="s">
        <v>56</v>
      </c>
      <c r="BX108" s="12" t="s">
        <v>57</v>
      </c>
      <c r="BY108" s="2" t="s">
        <v>58</v>
      </c>
      <c r="BZ108" s="2" t="s">
        <v>58</v>
      </c>
      <c r="CA108" s="12" t="s">
        <v>59</v>
      </c>
      <c r="CB108" s="2" t="s">
        <v>60</v>
      </c>
      <c r="CC108" s="2" t="s">
        <v>61</v>
      </c>
      <c r="CD108" s="2" t="s">
        <v>62</v>
      </c>
      <c r="CE108" s="2"/>
      <c r="CF108" s="2"/>
      <c r="CG108" s="2"/>
    </row>
    <row r="109" spans="6:85" hidden="1">
      <c r="F109" s="2">
        <v>1</v>
      </c>
      <c r="G109" s="3" t="s">
        <v>16</v>
      </c>
      <c r="H109" s="14">
        <f>IF(I88=1, 0.03455, IF(I88=2, 0.0758, IF(I88=3, 0.091, IF(I88=4, 0.0302, IF(I88=5, 0.0302, IF(I88=6, 0.0123, IF(I88=7, 0.0123, IF(I88=8, 0.0123, IF(I88=9, 0.0123,"")))))))))</f>
        <v>3.4549999999999997E-2</v>
      </c>
      <c r="I109" s="3">
        <f>IF((J$8=G109),F109,"")</f>
        <v>1</v>
      </c>
      <c r="J109" s="3">
        <f>IFERROR(SMALL(I$109:I$110,F109),"")</f>
        <v>1</v>
      </c>
      <c r="K109" s="58">
        <v>70</v>
      </c>
      <c r="L109" s="3">
        <f>IF(J$109=F109,J$10*H109*12919)</f>
        <v>174193116.87699997</v>
      </c>
      <c r="M109" s="3">
        <f>IF(J$109=F109,J$11*H109*12919)</f>
        <v>169613550.99999997</v>
      </c>
      <c r="N109" s="3">
        <f>(((L109-M109)/1000)*0.000001)*J6</f>
        <v>4.5795658770000037E-3</v>
      </c>
      <c r="O109" s="2" t="s">
        <v>63</v>
      </c>
      <c r="P109" s="2"/>
      <c r="Q109" s="2"/>
      <c r="R109" s="2"/>
      <c r="S109" s="2"/>
      <c r="U109" s="2">
        <v>1</v>
      </c>
      <c r="V109" s="3" t="s">
        <v>16</v>
      </c>
      <c r="W109" s="14" t="str">
        <f>IF(X89=1, 0.03455, IF(X89=2, 0.0758, IF(X89=3, 0.091, IF(X89=4, 0.0302, IF(X89=5, 0.0302, IF(X89=6, 0.0123, IF(X89=7, 0.0123, IF(X89=8, 0.0123, IF(X89=9, 0.0123,"")))))))))</f>
        <v/>
      </c>
      <c r="X109" s="3" t="str">
        <f>IF((K$8=V109),U109,"")</f>
        <v/>
      </c>
      <c r="Y109" s="3" t="str">
        <f>IFERROR(SMALL(X$109:X$110,U109),"")</f>
        <v/>
      </c>
      <c r="Z109" s="58">
        <v>70</v>
      </c>
      <c r="AA109" s="3" t="b">
        <f>IF(Y$109=U109,K$10*W109*12919)</f>
        <v>0</v>
      </c>
      <c r="AB109" s="3" t="b">
        <f>IF(Y$109=U109,K$11*W109*12919)</f>
        <v>0</v>
      </c>
      <c r="AC109" s="3">
        <f>(((AA109-AB109)/1000)*0.000001)*K6</f>
        <v>0</v>
      </c>
      <c r="AD109" s="2" t="s">
        <v>63</v>
      </c>
      <c r="AE109" s="2"/>
      <c r="AF109" s="2"/>
      <c r="AG109" s="2"/>
      <c r="AH109" s="2"/>
      <c r="AI109" s="2">
        <v>1</v>
      </c>
      <c r="AJ109" s="3" t="s">
        <v>16</v>
      </c>
      <c r="AK109" s="14" t="str">
        <f>IF(AL89=1, 0.03455, IF(AL89=2, 0.0758, IF(AL89=3, 0.091, IF(AL89=4, 0.0302, IF(AL89=5, 0.0302, IF(AL89=6, 0.0123, IF(AL89=7, 0.0123, IF(AL89=8, 0.0123, IF(AL89=9, 0.0123,"")))))))))</f>
        <v/>
      </c>
      <c r="AL109" s="3" t="str">
        <f>IF((L$8=AJ109),AI109,"")</f>
        <v/>
      </c>
      <c r="AM109" s="3" t="str">
        <f>IFERROR(SMALL(AL$109:AL$110,AI109),"")</f>
        <v/>
      </c>
      <c r="AN109" s="58">
        <v>70</v>
      </c>
      <c r="AO109" s="3" t="b">
        <f>IF(AM$109=AI109,L$10*AK109*12919)</f>
        <v>0</v>
      </c>
      <c r="AP109" s="3" t="b">
        <f>IF(AM$109=AI109,L$11*AK109*12919)</f>
        <v>0</v>
      </c>
      <c r="AQ109" s="3">
        <f>(((AO109-AP109)/1000)*0.000001)*L6</f>
        <v>0</v>
      </c>
      <c r="AR109" s="2" t="s">
        <v>63</v>
      </c>
      <c r="AS109" s="2"/>
      <c r="AT109" s="2"/>
      <c r="AU109" s="2"/>
      <c r="AW109" s="2">
        <v>1</v>
      </c>
      <c r="AX109" s="3" t="s">
        <v>16</v>
      </c>
      <c r="AY109" s="14" t="str">
        <f>IF(AZ89=1, 0.03455, IF(AZ89=2, 0.0758, IF(AZ89=3, 0.091, IF(AZ89=4, 0.0302, IF(AZ89=5, 0.0302, IF(AZ89=6, 0.0123, IF(AZ89=7, 0.0123, IF(AZ89=8, 0.0123, IF(AZ89=9, 0.0123,"")))))))))</f>
        <v/>
      </c>
      <c r="AZ109" s="3" t="str">
        <f>IF((M$8=AX109),AW109,"")</f>
        <v/>
      </c>
      <c r="BA109" s="3" t="str">
        <f>IFERROR(SMALL(AZ$109:AZ$110,AW109),"")</f>
        <v/>
      </c>
      <c r="BB109" s="58">
        <v>70</v>
      </c>
      <c r="BC109" s="3" t="b">
        <f>IF(BA$109=AW109,M$10*AY109*12919)</f>
        <v>0</v>
      </c>
      <c r="BD109" s="3" t="b">
        <f>IF(BA$109=AW109,M$11*AY109*12919)</f>
        <v>0</v>
      </c>
      <c r="BE109" s="3">
        <f>(((BC109-BD109)/1000)*0.000001)*M6</f>
        <v>0</v>
      </c>
      <c r="BF109" s="2" t="s">
        <v>63</v>
      </c>
      <c r="BG109" s="2"/>
      <c r="BH109" s="2"/>
      <c r="BK109" s="2">
        <v>1</v>
      </c>
      <c r="BL109" s="3" t="s">
        <v>16</v>
      </c>
      <c r="BM109" s="14" t="str">
        <f>IF(BN89=1, 0.03455, IF(BN89=2, 0.0758, IF(BN89=3, 0.091, IF(BN89=4, 0.0302, IF(BN89=5, 0.0302, IF(BN89=6, 0.0123, IF(BN89=7, 0.0123, IF(BN89=8, 0.0123, IF(BN89=9, 0.0123,"")))))))))</f>
        <v/>
      </c>
      <c r="BN109" s="3" t="str">
        <f>IF((N$8=BL109),BK109,"")</f>
        <v/>
      </c>
      <c r="BO109" s="3" t="str">
        <f>IFERROR(SMALL(BN$109:BN$110,BK109),"")</f>
        <v/>
      </c>
      <c r="BP109" s="58">
        <v>70</v>
      </c>
      <c r="BQ109" s="3" t="b">
        <f>IF(BO$109=BK109,N$10*BM109*12919)</f>
        <v>0</v>
      </c>
      <c r="BR109" s="3" t="b">
        <f>IF(BO$109=BK109,N$11*BM109*12919)</f>
        <v>0</v>
      </c>
      <c r="BS109" s="3">
        <f>(((BQ109-BR109)/1000)*0.000001)*N6</f>
        <v>0</v>
      </c>
      <c r="BT109" s="2" t="s">
        <v>63</v>
      </c>
      <c r="BU109" s="2"/>
      <c r="BV109" s="2">
        <v>1</v>
      </c>
      <c r="BW109" s="3" t="s">
        <v>16</v>
      </c>
      <c r="BX109" s="14" t="str">
        <f>IF(BY89=1, 0.03455, IF(BY89=2, 0.0758, IF(BY89=3, 0.091, IF(BY89=4, 0.0302, IF(BY89=5, 0.0302, IF(BY89=6, 0.0123, IF(BY89=7, 0.0123, IF(BY89=8, 0.0123, IF(BY89=9, 0.0123,"")))))))))</f>
        <v/>
      </c>
      <c r="BY109" s="3" t="str">
        <f>IF((O$8=BW109),BV109,"")</f>
        <v/>
      </c>
      <c r="BZ109" s="3" t="str">
        <f>IFERROR(SMALL(BY$109:BY$110,BV109),"")</f>
        <v/>
      </c>
      <c r="CA109" s="58">
        <v>70</v>
      </c>
      <c r="CB109" s="3" t="b">
        <f>IF(BZ$109=BV109,O$10*BX109*12919)</f>
        <v>0</v>
      </c>
      <c r="CC109" s="3" t="b">
        <f>IF(BZ$109=BV109,O$11*BX109*12919)</f>
        <v>0</v>
      </c>
      <c r="CD109" s="3">
        <f>(((CB109-CC109)/1000)*0.000001)*O6</f>
        <v>0</v>
      </c>
      <c r="CE109" s="2" t="s">
        <v>63</v>
      </c>
      <c r="CF109" s="2"/>
      <c r="CG109" s="2"/>
    </row>
    <row r="110" spans="6:85" hidden="1">
      <c r="F110" s="2">
        <v>2</v>
      </c>
      <c r="G110" s="3" t="s">
        <v>64</v>
      </c>
      <c r="H110" s="14">
        <f>IF(I88=1,0.00155, IF(I88=2, 0.0012, IF(I88=3, 0.0012, IF(I88=4, 0.0012, IF(I88=5, 0.0012, IF(I88=6, 0.0019, IF(I88=7, 0.0019, IF(I88=8, 0.0019, IF(I88=9, 0.0019,"")))))))))</f>
        <v>1.5499999999999999E-3</v>
      </c>
      <c r="I110" s="3" t="str">
        <f>IF((J$8=G110),F110,"")</f>
        <v/>
      </c>
      <c r="J110" s="3" t="str">
        <f>IFERROR(SMALL(I$109:I$110,F110),"")</f>
        <v/>
      </c>
      <c r="K110" s="58">
        <v>80</v>
      </c>
      <c r="L110" s="3" t="b">
        <f>IF(J$109=F110,J$10*H110*20787)</f>
        <v>0</v>
      </c>
      <c r="M110" s="3" t="b">
        <f>IF(J$109=F110,J$11*H110*20787)</f>
        <v>0</v>
      </c>
      <c r="N110" s="3">
        <f>(((L110-M110)/1000)*0.000001)*J6</f>
        <v>0</v>
      </c>
      <c r="O110" s="2" t="s">
        <v>63</v>
      </c>
      <c r="P110" s="2"/>
      <c r="Q110" s="2"/>
      <c r="R110" s="2"/>
      <c r="S110" s="2"/>
      <c r="U110" s="2">
        <v>2</v>
      </c>
      <c r="V110" s="3" t="s">
        <v>64</v>
      </c>
      <c r="W110" s="14" t="str">
        <f>IF(X89=1,0.00155, IF(X89=2, 0.0012, IF(X89=3, 0.0012, IF(X89=4, 0.0012, IF(X89=5, 0.0012, IF(X89=6, 0.0019, IF(X89=7, 0.0019, IF(X89=8, 0.0019, IF(X89=9, 0.0019,"")))))))))</f>
        <v/>
      </c>
      <c r="X110" s="3" t="str">
        <f>IF((K$8=V110),U110,"")</f>
        <v/>
      </c>
      <c r="Y110" s="3" t="str">
        <f>IFERROR(SMALL(X$109:X$110,U110),"")</f>
        <v/>
      </c>
      <c r="Z110" s="58">
        <v>80</v>
      </c>
      <c r="AA110" s="3" t="b">
        <f>IF(Y$109=U110,K$10*W110*20787)</f>
        <v>0</v>
      </c>
      <c r="AB110" s="3" t="b">
        <f>IF(Y$109=U110,K$11*W110*20787)</f>
        <v>0</v>
      </c>
      <c r="AC110" s="3">
        <f>(((AA110-AB110)/1000)*0.000001)*K6</f>
        <v>0</v>
      </c>
      <c r="AD110" s="2" t="s">
        <v>63</v>
      </c>
      <c r="AE110" s="2"/>
      <c r="AF110" s="2"/>
      <c r="AG110" s="2"/>
      <c r="AH110" s="2"/>
      <c r="AI110" s="2">
        <v>2</v>
      </c>
      <c r="AJ110" s="3" t="s">
        <v>64</v>
      </c>
      <c r="AK110" s="14" t="str">
        <f>IF(AL89=1,0.00155, IF(AL89=2, 0.0012, IF(AL89=3, 0.0012, IF(AL89=4, 0.0012, IF(AL89=5, 0.0012, IF(AL89=6, 0.0019, IF(AL89=7, 0.0019, IF(AL89=8, 0.0019, IF(AL89=9, 0.0019,"")))))))))</f>
        <v/>
      </c>
      <c r="AL110" s="3" t="str">
        <f>IF((L$8=AJ110),AI110,"")</f>
        <v/>
      </c>
      <c r="AM110" s="3" t="str">
        <f>IFERROR(SMALL(AL$109:AL$110,AI110),"")</f>
        <v/>
      </c>
      <c r="AN110" s="58">
        <v>80</v>
      </c>
      <c r="AO110" s="3" t="b">
        <f>IF(AM$109=AI110,L$10*AK110*20787)</f>
        <v>0</v>
      </c>
      <c r="AP110" s="3" t="b">
        <f>IF(AM$109=AI110,L$11*AK110*20787)</f>
        <v>0</v>
      </c>
      <c r="AQ110" s="3">
        <f>(((AO110-AP110)/1000)*0.000001)*L6</f>
        <v>0</v>
      </c>
      <c r="AR110" s="2" t="s">
        <v>63</v>
      </c>
      <c r="AS110" s="2"/>
      <c r="AT110" s="2"/>
      <c r="AU110" s="2"/>
      <c r="AW110" s="2">
        <v>2</v>
      </c>
      <c r="AX110" s="3" t="s">
        <v>64</v>
      </c>
      <c r="AY110" s="14" t="str">
        <f>IF(AZ89=1,0.00155, IF(AZ89=2, 0.0012, IF(AZ89=3, 0.0012, IF(AZ89=4, 0.0012, IF(AZ89=5, 0.0012, IF(AZ89=6, 0.0019, IF(AZ89=7, 0.0019, IF(AZ89=8, 0.0019, IF(AZ89=9, 0.0019,"")))))))))</f>
        <v/>
      </c>
      <c r="AZ110" s="3" t="str">
        <f>IF((M$8=AX110),AW110,"")</f>
        <v/>
      </c>
      <c r="BA110" s="3" t="str">
        <f>IFERROR(SMALL(AZ$109:AZ$110,AW110),"")</f>
        <v/>
      </c>
      <c r="BB110" s="58">
        <v>80</v>
      </c>
      <c r="BC110" s="3" t="b">
        <f>IF(BA$109=AW110,M$10*AY110*20787)</f>
        <v>0</v>
      </c>
      <c r="BD110" s="3" t="b">
        <f>IF(BA$109=AW110,M$11*AY110*20787)</f>
        <v>0</v>
      </c>
      <c r="BE110" s="3">
        <f>(((BC110-BD110)/1000)*0.000001)*M6</f>
        <v>0</v>
      </c>
      <c r="BF110" s="2" t="s">
        <v>63</v>
      </c>
      <c r="BG110" s="2"/>
      <c r="BH110" s="2"/>
      <c r="BK110" s="2">
        <v>2</v>
      </c>
      <c r="BL110" s="3" t="s">
        <v>64</v>
      </c>
      <c r="BM110" s="14" t="str">
        <f>IF(BN89=1,0.00155, IF(BN89=2, 0.0012, IF(BN89=3, 0.0012, IF(BN89=4, 0.0012, IF(BN89=5, 0.0012, IF(BN89=6, 0.0019, IF(BN89=7, 0.0019, IF(BN89=8, 0.0019, IF(BN89=9, 0.0019,"")))))))))</f>
        <v/>
      </c>
      <c r="BN110" s="3" t="str">
        <f>IF((N$8=BL110),BK110,"")</f>
        <v/>
      </c>
      <c r="BO110" s="3" t="str">
        <f>IFERROR(SMALL(BN$109:BN$110,BK110),"")</f>
        <v/>
      </c>
      <c r="BP110" s="58">
        <v>80</v>
      </c>
      <c r="BQ110" s="3" t="b">
        <f>IF(BO$109=BK110,N$10*BM110*20787)</f>
        <v>0</v>
      </c>
      <c r="BR110" s="3" t="b">
        <f>IF(BO$109=BK110,N$11*BM110*20787)</f>
        <v>0</v>
      </c>
      <c r="BS110" s="3">
        <f>(((BQ110-BR110)/1000)*0.000001)*N6</f>
        <v>0</v>
      </c>
      <c r="BT110" s="2" t="s">
        <v>63</v>
      </c>
      <c r="BU110" s="2"/>
      <c r="BV110" s="2">
        <v>2</v>
      </c>
      <c r="BW110" s="3" t="s">
        <v>64</v>
      </c>
      <c r="BX110" s="14" t="str">
        <f>IF(BY89=1,0.00155, IF(BY89=2, 0.0012, IF(BY89=3, 0.0012, IF(BY89=4, 0.0012, IF(BY89=5, 0.0012, IF(BY89=6, 0.0019, IF(BY89=7, 0.0019, IF(BY89=8, 0.0019, IF(BY89=9, 0.0019,"")))))))))</f>
        <v/>
      </c>
      <c r="BY110" s="3" t="str">
        <f>IF((O$8=BW110),BV110,"")</f>
        <v/>
      </c>
      <c r="BZ110" s="3" t="str">
        <f>IFERROR(SMALL(BY$109:BY$110,BV110),"")</f>
        <v/>
      </c>
      <c r="CA110" s="58">
        <v>80</v>
      </c>
      <c r="CB110" s="3" t="b">
        <f>IF(BZ$109=BV110,O$10*BX110*20787)</f>
        <v>0</v>
      </c>
      <c r="CC110" s="3" t="b">
        <f>IF(BZ$109=BV110,O$11*BX110*20787)</f>
        <v>0</v>
      </c>
      <c r="CD110" s="3">
        <f>(((CB110-CC110)/1000)*0.000001)*O6</f>
        <v>0</v>
      </c>
      <c r="CE110" s="2" t="s">
        <v>63</v>
      </c>
      <c r="CF110" s="2"/>
      <c r="CG110" s="2"/>
    </row>
    <row r="111" spans="6:85" hidden="1">
      <c r="F111" s="2"/>
      <c r="G111" s="2"/>
      <c r="H111" s="2"/>
      <c r="I111" s="2"/>
      <c r="J111" s="2"/>
      <c r="K111" s="2"/>
      <c r="L111" s="2"/>
      <c r="M111" s="2"/>
      <c r="N111" s="2"/>
      <c r="O111" s="2"/>
      <c r="P111" s="2"/>
      <c r="Q111" s="2"/>
      <c r="R111" s="2"/>
      <c r="S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W111" s="2"/>
      <c r="AX111" s="2"/>
      <c r="AY111" s="2"/>
      <c r="AZ111" s="2"/>
      <c r="BA111" s="2"/>
      <c r="BB111" s="2"/>
      <c r="BC111" s="2"/>
      <c r="BD111" s="2"/>
      <c r="BE111" s="2"/>
      <c r="BF111" s="2"/>
      <c r="BG111" s="2"/>
      <c r="BH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row>
    <row r="112" spans="6:85" hidden="1">
      <c r="F112" s="2"/>
      <c r="G112" s="12" t="s">
        <v>56</v>
      </c>
      <c r="H112" s="12" t="s">
        <v>71</v>
      </c>
      <c r="I112" s="2" t="s">
        <v>58</v>
      </c>
      <c r="J112" s="2" t="s">
        <v>58</v>
      </c>
      <c r="K112" s="12" t="s">
        <v>59</v>
      </c>
      <c r="L112" s="2" t="s">
        <v>60</v>
      </c>
      <c r="M112" s="2" t="s">
        <v>61</v>
      </c>
      <c r="N112" s="2" t="s">
        <v>62</v>
      </c>
      <c r="O112" s="2"/>
      <c r="P112" s="2"/>
      <c r="Q112" s="2"/>
      <c r="R112" s="2"/>
      <c r="S112" s="2"/>
      <c r="U112" s="2"/>
      <c r="V112" s="12" t="s">
        <v>56</v>
      </c>
      <c r="W112" s="12" t="s">
        <v>71</v>
      </c>
      <c r="X112" s="2" t="s">
        <v>58</v>
      </c>
      <c r="Y112" s="2" t="s">
        <v>58</v>
      </c>
      <c r="Z112" s="12" t="s">
        <v>59</v>
      </c>
      <c r="AA112" s="2" t="s">
        <v>60</v>
      </c>
      <c r="AB112" s="2" t="s">
        <v>61</v>
      </c>
      <c r="AC112" s="2" t="s">
        <v>62</v>
      </c>
      <c r="AD112" s="2"/>
      <c r="AE112" s="2"/>
      <c r="AF112" s="2"/>
      <c r="AG112" s="2"/>
      <c r="AH112" s="2"/>
      <c r="AI112" s="2"/>
      <c r="AJ112" s="12" t="s">
        <v>56</v>
      </c>
      <c r="AK112" s="12" t="s">
        <v>71</v>
      </c>
      <c r="AL112" s="2" t="s">
        <v>58</v>
      </c>
      <c r="AM112" s="2" t="s">
        <v>58</v>
      </c>
      <c r="AN112" s="12" t="s">
        <v>59</v>
      </c>
      <c r="AO112" s="2" t="s">
        <v>60</v>
      </c>
      <c r="AP112" s="2" t="s">
        <v>61</v>
      </c>
      <c r="AQ112" s="2" t="s">
        <v>62</v>
      </c>
      <c r="AR112" s="2"/>
      <c r="AS112" s="2"/>
      <c r="AT112" s="2"/>
      <c r="AU112" s="2"/>
      <c r="AW112" s="2"/>
      <c r="AX112" s="12" t="s">
        <v>56</v>
      </c>
      <c r="AY112" s="12" t="s">
        <v>71</v>
      </c>
      <c r="AZ112" s="2" t="s">
        <v>58</v>
      </c>
      <c r="BA112" s="2" t="s">
        <v>58</v>
      </c>
      <c r="BB112" s="12" t="s">
        <v>59</v>
      </c>
      <c r="BC112" s="2" t="s">
        <v>60</v>
      </c>
      <c r="BD112" s="2" t="s">
        <v>61</v>
      </c>
      <c r="BE112" s="2" t="s">
        <v>62</v>
      </c>
      <c r="BF112" s="2"/>
      <c r="BG112" s="2"/>
      <c r="BH112" s="2"/>
      <c r="BK112" s="2"/>
      <c r="BL112" s="12" t="s">
        <v>56</v>
      </c>
      <c r="BM112" s="12" t="s">
        <v>71</v>
      </c>
      <c r="BN112" s="2" t="s">
        <v>58</v>
      </c>
      <c r="BO112" s="2" t="s">
        <v>58</v>
      </c>
      <c r="BP112" s="12" t="s">
        <v>59</v>
      </c>
      <c r="BQ112" s="2" t="s">
        <v>60</v>
      </c>
      <c r="BR112" s="2" t="s">
        <v>61</v>
      </c>
      <c r="BS112" s="2" t="s">
        <v>62</v>
      </c>
      <c r="BT112" s="2"/>
      <c r="BU112" s="2"/>
      <c r="BV112" s="2"/>
      <c r="BW112" s="12" t="s">
        <v>56</v>
      </c>
      <c r="BX112" s="12" t="s">
        <v>71</v>
      </c>
      <c r="BY112" s="2" t="s">
        <v>58</v>
      </c>
      <c r="BZ112" s="2" t="s">
        <v>58</v>
      </c>
      <c r="CA112" s="12" t="s">
        <v>59</v>
      </c>
      <c r="CB112" s="2" t="s">
        <v>60</v>
      </c>
      <c r="CC112" s="2" t="s">
        <v>61</v>
      </c>
      <c r="CD112" s="2" t="s">
        <v>62</v>
      </c>
      <c r="CE112" s="2"/>
      <c r="CF112" s="2"/>
      <c r="CG112" s="2"/>
    </row>
    <row r="113" spans="6:85" hidden="1">
      <c r="F113" s="2">
        <v>1</v>
      </c>
      <c r="G113" s="3" t="s">
        <v>16</v>
      </c>
      <c r="H113" s="14">
        <f>IF(I88=1,0.001475, IF(I88=2, 0.0023, IF(I88=3, 0.0023, IF(I88=4, 0.0011, IF(I88=5, 0.0011, IF(I88=6, 0.0014, IF(I88=7, 0.0012, IF(I88=8,0.0012, IF(I88=9, 0.0012,"")))))))))</f>
        <v>1.475E-3</v>
      </c>
      <c r="I113" s="3">
        <f>IF((J$8=G113),F113,"")</f>
        <v>1</v>
      </c>
      <c r="J113" s="3">
        <f>IFERROR(SMALL(I$113:I$114,F113),"")</f>
        <v>1</v>
      </c>
      <c r="K113" s="58">
        <v>70</v>
      </c>
      <c r="L113" s="3">
        <f>IF(J$113=F113,J$10*H113*12919)</f>
        <v>7436609.1865000008</v>
      </c>
      <c r="M113" s="3">
        <f>IF(J$113=F113,J$11*H113*12919)</f>
        <v>7241099.5</v>
      </c>
      <c r="N113" s="3">
        <f>(((L113-M113)/1000)*0.000001)*J6</f>
        <v>1.9550968650000074E-4</v>
      </c>
      <c r="O113" s="2" t="s">
        <v>63</v>
      </c>
      <c r="P113" s="2"/>
      <c r="Q113" s="2"/>
      <c r="R113" s="2"/>
      <c r="S113" s="2"/>
      <c r="U113" s="2">
        <v>1</v>
      </c>
      <c r="V113" s="3" t="s">
        <v>16</v>
      </c>
      <c r="W113" s="14" t="str">
        <f>IF(X89=1,0.001475, IF(X89=2, 0.0023, IF(X89=3, 0.0023, IF(X89=4, 0.0011, IF(X89=5, 0.0011, IF(X89=6, 0.0014, IF(X89=7, 0.0012, IF(X89=8,0.0012, IF(X89=9, 0.0012,"")))))))))</f>
        <v/>
      </c>
      <c r="X113" s="3" t="str">
        <f>IF((K$8=V113),U113,"")</f>
        <v/>
      </c>
      <c r="Y113" s="3" t="str">
        <f>IFERROR(SMALL(X$113:X$114,U113),"")</f>
        <v/>
      </c>
      <c r="Z113" s="58">
        <v>70</v>
      </c>
      <c r="AA113" s="3" t="b">
        <f>IF(Y$113=U113,K$10*W113*12919)</f>
        <v>0</v>
      </c>
      <c r="AB113" s="3" t="b">
        <f>IF(Y$113=U113,K$11*W113*12919)</f>
        <v>0</v>
      </c>
      <c r="AC113" s="3">
        <f>(((AA113-AB113)/1000)*0.000001)*K6</f>
        <v>0</v>
      </c>
      <c r="AD113" s="2" t="s">
        <v>63</v>
      </c>
      <c r="AE113" s="2"/>
      <c r="AF113" s="2"/>
      <c r="AG113" s="2"/>
      <c r="AH113" s="2"/>
      <c r="AI113" s="2">
        <v>1</v>
      </c>
      <c r="AJ113" s="3" t="s">
        <v>16</v>
      </c>
      <c r="AK113" s="14" t="str">
        <f>IF(AL89=1,0.001475, IF(AL89=2, 0.0023, IF(AL89=3, 0.0023, IF(AL89=4, 0.0011, IF(AL89=5, 0.0011, IF(AL89=6, 0.0014, IF(AL89=7, 0.0012, IF(AL89=8,0.0012, IF(AL89=9, 0.0012,"")))))))))</f>
        <v/>
      </c>
      <c r="AL113" s="3" t="str">
        <f>IF((L$8=AJ113),AI113,"")</f>
        <v/>
      </c>
      <c r="AM113" s="3" t="str">
        <f>IFERROR(SMALL(AL$113:AL$114,AI113),"")</f>
        <v/>
      </c>
      <c r="AN113" s="58">
        <v>70</v>
      </c>
      <c r="AO113" s="3" t="b">
        <f>IF(AM$113=AI113,L$10*AK113*12919)</f>
        <v>0</v>
      </c>
      <c r="AP113" s="3" t="b">
        <f>IF(AM$113=AI113,L$11*AK113*12919)</f>
        <v>0</v>
      </c>
      <c r="AQ113" s="3">
        <f>(((AO113-AP113)/1000)*0.000001)*L6</f>
        <v>0</v>
      </c>
      <c r="AR113" s="2" t="s">
        <v>63</v>
      </c>
      <c r="AS113" s="2"/>
      <c r="AT113" s="2"/>
      <c r="AU113" s="2"/>
      <c r="AW113" s="2">
        <v>1</v>
      </c>
      <c r="AX113" s="3" t="s">
        <v>16</v>
      </c>
      <c r="AY113" s="14" t="str">
        <f>IF(AZ89=1,0.001475, IF(AZ89=2, 0.0023, IF(AZ89=3, 0.0023, IF(AZ89=4, 0.0011, IF(AZ89=5, 0.0011, IF(AZ89=6, 0.0014, IF(AZ89=7, 0.0012, IF(AZ89=8,0.0012, IF(AZ89=9, 0.0012,"")))))))))</f>
        <v/>
      </c>
      <c r="AZ113" s="3" t="str">
        <f>IF((M$8=AX113),AW113,"")</f>
        <v/>
      </c>
      <c r="BA113" s="3" t="str">
        <f>IFERROR(SMALL(AZ$113:AZ$114,AW113),"")</f>
        <v/>
      </c>
      <c r="BB113" s="58">
        <v>70</v>
      </c>
      <c r="BC113" s="3" t="b">
        <f>IF(BA$113=AW113,M$10*AY113*12919)</f>
        <v>0</v>
      </c>
      <c r="BD113" s="3" t="b">
        <f>IF(BA$113=AW113,M$11*AY113*12919)</f>
        <v>0</v>
      </c>
      <c r="BE113" s="3">
        <f>(((BC113-BD113)/1000)*0.000001)*M6</f>
        <v>0</v>
      </c>
      <c r="BF113" s="2" t="s">
        <v>63</v>
      </c>
      <c r="BG113" s="2"/>
      <c r="BH113" s="2"/>
      <c r="BK113" s="2">
        <v>1</v>
      </c>
      <c r="BL113" s="3" t="s">
        <v>16</v>
      </c>
      <c r="BM113" s="14" t="str">
        <f>IF(BN89=1,0.001475, IF(BN89=2, 0.0023, IF(BN89=3, 0.0023, IF(BN89=4, 0.0011, IF(BN89=5, 0.0011, IF(BN89=6, 0.0014, IF(BN89=7, 0.0012, IF(BN89=8,0.0012, IF(BN89=9, 0.0012,"")))))))))</f>
        <v/>
      </c>
      <c r="BN113" s="3" t="str">
        <f>IF((N$8=BL113),BK113,"")</f>
        <v/>
      </c>
      <c r="BO113" s="3" t="str">
        <f>IFERROR(SMALL(BN$113:BN$114,BK113),"")</f>
        <v/>
      </c>
      <c r="BP113" s="58">
        <v>70</v>
      </c>
      <c r="BQ113" s="3" t="b">
        <f>IF(BO$113=BK113,N$10*BM113*12919)</f>
        <v>0</v>
      </c>
      <c r="BR113" s="3" t="b">
        <f>IF(BO$113=BK113,N$11*BM113*12919)</f>
        <v>0</v>
      </c>
      <c r="BS113" s="3">
        <f>(((BQ113-BR113)/1000)*0.000001)*N6</f>
        <v>0</v>
      </c>
      <c r="BT113" s="2" t="s">
        <v>63</v>
      </c>
      <c r="BU113" s="2"/>
      <c r="BV113" s="2">
        <v>1</v>
      </c>
      <c r="BW113" s="3" t="s">
        <v>16</v>
      </c>
      <c r="BX113" s="14" t="str">
        <f>IF(BY89=1,0.001475, IF(BY89=2, 0.0023, IF(BY89=3, 0.0023, IF(BY89=4, 0.0011, IF(BY89=5, 0.0011, IF(BY89=6, 0.0014, IF(BY89=7, 0.0012, IF(BY89=8,0.0012, IF(BY89=9, 0.0012,"")))))))))</f>
        <v/>
      </c>
      <c r="BY113" s="3" t="str">
        <f>IF((O$8=BW113),BV113,"")</f>
        <v/>
      </c>
      <c r="BZ113" s="3" t="str">
        <f>IFERROR(SMALL(BY$113:BY$114,BV113),"")</f>
        <v/>
      </c>
      <c r="CA113" s="58">
        <v>70</v>
      </c>
      <c r="CB113" s="3" t="b">
        <f>IF(BZ$113=BV113,O$10*BX113*12919)</f>
        <v>0</v>
      </c>
      <c r="CC113" s="3" t="b">
        <f>IF(BZ$113=BV113,O$11*BX113*12919)</f>
        <v>0</v>
      </c>
      <c r="CD113" s="3">
        <f>(((CB113-CC113)/1000)*0.000001)*O6</f>
        <v>0</v>
      </c>
      <c r="CE113" s="2" t="s">
        <v>63</v>
      </c>
      <c r="CF113" s="2"/>
      <c r="CG113" s="2"/>
    </row>
    <row r="114" spans="6:85" hidden="1">
      <c r="F114" s="2">
        <v>2</v>
      </c>
      <c r="G114" s="3" t="s">
        <v>64</v>
      </c>
      <c r="H114" s="14">
        <f>IF(I88=1, 0.04461, IF(I88=2, 0.117, IF(I88=3, 0.117, IF(I88=4, 0.0783, IF(I88=5, 0.0409, IF(I88=6, 0.001, IF(I88=7, 0.0009, IF(I88=8, 0.0009, IF(I88=9, 0.0009,"")))))))))</f>
        <v>4.4609999999999997E-2</v>
      </c>
      <c r="I114" s="3" t="str">
        <f>IF((J$8=G114),F114,"")</f>
        <v/>
      </c>
      <c r="J114" s="3" t="str">
        <f>IFERROR(SMALL(I$113:I$114,F114),"")</f>
        <v/>
      </c>
      <c r="K114" s="58">
        <v>80</v>
      </c>
      <c r="L114" s="3" t="b">
        <f>IF(J$113=F114,J$10*H114*20787)</f>
        <v>0</v>
      </c>
      <c r="M114" s="3" t="b">
        <f>IF(J$113=F114,J$11*H114*20787)</f>
        <v>0</v>
      </c>
      <c r="N114" s="3">
        <f>(((L114-M114)/1000)*0.000001)*J6</f>
        <v>0</v>
      </c>
      <c r="O114" s="2" t="s">
        <v>63</v>
      </c>
      <c r="P114" s="2"/>
      <c r="Q114" s="2"/>
      <c r="R114" s="2"/>
      <c r="S114" s="2"/>
      <c r="U114" s="2">
        <v>2</v>
      </c>
      <c r="V114" s="3" t="s">
        <v>64</v>
      </c>
      <c r="W114" s="14" t="str">
        <f>IF(X89=1, 0.04461, IF(X89=2, 0.117, IF(X89=3, 0.117, IF(X89=4, 0.0783, IF(X89=5, 0.0409, IF(X89=6, 0.001, IF(X89=7, 0.0009, IF(X89=8, 0.0009, IF(X89=9, 0.0009,"")))))))))</f>
        <v/>
      </c>
      <c r="X114" s="3" t="str">
        <f>IF((K$8=V114),U114,"")</f>
        <v/>
      </c>
      <c r="Y114" s="3" t="str">
        <f>IFERROR(SMALL(X$113:X$114,U114),"")</f>
        <v/>
      </c>
      <c r="Z114" s="58">
        <v>80</v>
      </c>
      <c r="AA114" s="3" t="b">
        <f>IF(Y$113=U114,K$10*W114*20787)</f>
        <v>0</v>
      </c>
      <c r="AB114" s="3" t="b">
        <f>IF(Y$113=U114,K$11*W114*20787)</f>
        <v>0</v>
      </c>
      <c r="AC114" s="3">
        <f>(((AA114-AB114)/1000)*0.000001)*K6</f>
        <v>0</v>
      </c>
      <c r="AD114" s="2" t="s">
        <v>63</v>
      </c>
      <c r="AE114" s="2"/>
      <c r="AF114" s="2"/>
      <c r="AG114" s="2"/>
      <c r="AH114" s="2"/>
      <c r="AI114" s="2">
        <v>2</v>
      </c>
      <c r="AJ114" s="3" t="s">
        <v>64</v>
      </c>
      <c r="AK114" s="14" t="str">
        <f>IF(AL89=1, 0.04461, IF(AL89=2, 0.117, IF(AL89=3, 0.117, IF(AL89=4, 0.0783, IF(AL89=5, 0.0409, IF(AL89=6, 0.001, IF(AL89=7, 0.0009, IF(AL89=8, 0.0009, IF(AL89=9, 0.0009,"")))))))))</f>
        <v/>
      </c>
      <c r="AL114" s="3" t="str">
        <f>IF((L$8=AJ114),AI114,"")</f>
        <v/>
      </c>
      <c r="AM114" s="3" t="str">
        <f>IFERROR(SMALL(AL$113:AL$114,AI114),"")</f>
        <v/>
      </c>
      <c r="AN114" s="58">
        <v>80</v>
      </c>
      <c r="AO114" s="3" t="b">
        <f>IF(AM$113=AI114,L$10*AK114*20787)</f>
        <v>0</v>
      </c>
      <c r="AP114" s="3" t="b">
        <f>IF(AM$113=AI114,L$11*AK114*20787)</f>
        <v>0</v>
      </c>
      <c r="AQ114" s="3">
        <f>(((AO114-AP114)/1000)*0.000001)*L6</f>
        <v>0</v>
      </c>
      <c r="AR114" s="2" t="s">
        <v>63</v>
      </c>
      <c r="AS114" s="2"/>
      <c r="AT114" s="2"/>
      <c r="AU114" s="2"/>
      <c r="AW114" s="2">
        <v>2</v>
      </c>
      <c r="AX114" s="3" t="s">
        <v>64</v>
      </c>
      <c r="AY114" s="14" t="str">
        <f>IF(AZ89=1, 0.04461, IF(AZ89=2, 0.117, IF(AZ89=3, 0.117, IF(AZ89=4, 0.0783, IF(AZ89=5, 0.0409, IF(AZ89=6, 0.001, IF(AZ89=7, 0.0009, IF(AZ89=8, 0.0009, IF(AZ89=9, 0.0009,"")))))))))</f>
        <v/>
      </c>
      <c r="AZ114" s="3" t="str">
        <f>IF((M$8=AX114),AW114,"")</f>
        <v/>
      </c>
      <c r="BA114" s="3" t="str">
        <f>IFERROR(SMALL(AZ$113:AZ$114,AW114),"")</f>
        <v/>
      </c>
      <c r="BB114" s="58">
        <v>80</v>
      </c>
      <c r="BC114" s="3" t="b">
        <f>IF(BA$113=AW114,M$10*AY114*20787)</f>
        <v>0</v>
      </c>
      <c r="BD114" s="3" t="b">
        <f>IF(BA$113=AW114,M$11*AY114*20787)</f>
        <v>0</v>
      </c>
      <c r="BE114" s="3">
        <f>(((BC114-BD114)/1000)*0.000001)*M6</f>
        <v>0</v>
      </c>
      <c r="BF114" s="2" t="s">
        <v>63</v>
      </c>
      <c r="BG114" s="2"/>
      <c r="BH114" s="2"/>
      <c r="BK114" s="2">
        <v>2</v>
      </c>
      <c r="BL114" s="3" t="s">
        <v>64</v>
      </c>
      <c r="BM114" s="14" t="str">
        <f>IF(BN89=1, 0.04461, IF(BN89=2, 0.117, IF(BN89=3, 0.117, IF(BN89=4, 0.0783, IF(BN89=5, 0.0409, IF(BN89=6, 0.001, IF(BN89=7, 0.0009, IF(BN89=8, 0.0009, IF(BN89=9, 0.0009,"")))))))))</f>
        <v/>
      </c>
      <c r="BN114" s="3" t="str">
        <f>IF((N$8=BL114),BK114,"")</f>
        <v/>
      </c>
      <c r="BO114" s="3" t="str">
        <f>IFERROR(SMALL(BN$113:BN$114,BK114),"")</f>
        <v/>
      </c>
      <c r="BP114" s="58">
        <v>80</v>
      </c>
      <c r="BQ114" s="3" t="b">
        <f>IF(BO$113=BK114,N$10*BM114*20787)</f>
        <v>0</v>
      </c>
      <c r="BR114" s="3" t="b">
        <f>IF(BO$113=BK114,N$11*BM114*20787)</f>
        <v>0</v>
      </c>
      <c r="BS114" s="3">
        <f>(((BQ114-BR114)/1000)*0.000001)*N6</f>
        <v>0</v>
      </c>
      <c r="BT114" s="2" t="s">
        <v>63</v>
      </c>
      <c r="BU114" s="2"/>
      <c r="BV114" s="2">
        <v>2</v>
      </c>
      <c r="BW114" s="3" t="s">
        <v>64</v>
      </c>
      <c r="BX114" s="14" t="str">
        <f>IF(BY89=1, 0.04461, IF(BY89=2, 0.117, IF(BY89=3, 0.117, IF(BY89=4, 0.0783, IF(BY89=5, 0.0409, IF(BY89=6, 0.001, IF(BY89=7, 0.0009, IF(BY89=8, 0.0009, IF(BY89=9, 0.0009,"")))))))))</f>
        <v/>
      </c>
      <c r="BY114" s="3" t="str">
        <f>IF((O$8=BW114),BV114,"")</f>
        <v/>
      </c>
      <c r="BZ114" s="3" t="str">
        <f>IFERROR(SMALL(BY$113:BY$114,BV114),"")</f>
        <v/>
      </c>
      <c r="CA114" s="58">
        <v>80</v>
      </c>
      <c r="CB114" s="3" t="b">
        <f>IF(BZ$113=BV114,O$10*BX114*20787)</f>
        <v>0</v>
      </c>
      <c r="CC114" s="3" t="b">
        <f>IF(BZ$113=BV114,O$11*BX114*20787)</f>
        <v>0</v>
      </c>
      <c r="CD114" s="3">
        <f>(((CB114-CC114)/1000)*0.000001)*O6</f>
        <v>0</v>
      </c>
      <c r="CE114" s="2" t="s">
        <v>63</v>
      </c>
      <c r="CF114" s="2"/>
      <c r="CG114" s="2"/>
    </row>
    <row r="115" spans="6:85" hidden="1">
      <c r="F115" s="2"/>
      <c r="G115" s="2"/>
      <c r="H115" s="2"/>
      <c r="I115" s="2"/>
      <c r="J115" s="2"/>
      <c r="K115" s="2"/>
      <c r="L115" s="2"/>
      <c r="M115" s="2"/>
      <c r="N115" s="2"/>
      <c r="O115" s="2"/>
      <c r="P115" s="2"/>
      <c r="Q115" s="2"/>
      <c r="R115" s="2"/>
      <c r="S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W115" s="2"/>
      <c r="AX115" s="2"/>
      <c r="AY115" s="2"/>
      <c r="AZ115" s="2"/>
      <c r="BA115" s="2"/>
      <c r="BB115" s="2"/>
      <c r="BC115" s="2"/>
      <c r="BD115" s="2"/>
      <c r="BE115" s="2"/>
      <c r="BF115" s="2"/>
      <c r="BG115" s="2"/>
      <c r="BH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row>
    <row r="116" spans="6:85" hidden="1">
      <c r="F116" s="2"/>
      <c r="G116" s="2"/>
      <c r="H116" s="2"/>
      <c r="I116" s="2"/>
      <c r="J116" s="2"/>
      <c r="K116" s="2"/>
      <c r="L116" s="2"/>
      <c r="M116" s="2"/>
      <c r="N116" s="2"/>
      <c r="O116" s="2"/>
      <c r="P116" s="2"/>
      <c r="Q116" s="2"/>
      <c r="R116" s="2"/>
      <c r="S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W116" s="2"/>
      <c r="AX116" s="2"/>
      <c r="AY116" s="2"/>
      <c r="AZ116" s="2"/>
      <c r="BA116" s="2"/>
      <c r="BB116" s="2"/>
      <c r="BC116" s="2"/>
      <c r="BD116" s="2"/>
      <c r="BE116" s="2"/>
      <c r="BF116" s="2"/>
      <c r="BG116" s="2"/>
      <c r="BH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row>
    <row r="117" spans="6:85" hidden="1">
      <c r="F117" s="2"/>
      <c r="G117" s="16" t="s">
        <v>74</v>
      </c>
      <c r="H117" s="2"/>
      <c r="I117" s="2"/>
      <c r="J117" s="2"/>
      <c r="K117" s="2"/>
      <c r="L117" s="2"/>
      <c r="M117" s="2"/>
      <c r="N117" s="2"/>
      <c r="O117" s="2"/>
      <c r="P117" s="2"/>
      <c r="Q117" s="2"/>
      <c r="R117" s="2"/>
      <c r="S117" s="2"/>
      <c r="U117" s="2"/>
      <c r="V117" s="2" t="s">
        <v>74</v>
      </c>
      <c r="W117" s="2"/>
      <c r="X117" s="2"/>
      <c r="Y117" s="2"/>
      <c r="Z117" s="2"/>
      <c r="AA117" s="2"/>
      <c r="AB117" s="2"/>
      <c r="AC117" s="2"/>
      <c r="AD117" s="2"/>
      <c r="AE117" s="2"/>
      <c r="AF117" s="2"/>
      <c r="AG117" s="2"/>
      <c r="AH117" s="2"/>
      <c r="AI117" s="2"/>
      <c r="AJ117" s="2" t="s">
        <v>74</v>
      </c>
      <c r="AK117" s="2"/>
      <c r="AL117" s="2"/>
      <c r="AM117" s="2"/>
      <c r="AN117" s="2"/>
      <c r="AO117" s="2"/>
      <c r="AP117" s="2"/>
      <c r="AQ117" s="2"/>
      <c r="AR117" s="2"/>
      <c r="AS117" s="2"/>
      <c r="AT117" s="2"/>
      <c r="AU117" s="2"/>
      <c r="AW117" s="2"/>
      <c r="AX117" s="2" t="s">
        <v>74</v>
      </c>
      <c r="AY117" s="2"/>
      <c r="AZ117" s="2"/>
      <c r="BA117" s="2"/>
      <c r="BB117" s="2"/>
      <c r="BC117" s="2"/>
      <c r="BD117" s="2"/>
      <c r="BE117" s="2"/>
      <c r="BF117" s="2"/>
      <c r="BG117" s="2"/>
      <c r="BH117" s="2"/>
      <c r="BK117" s="2"/>
      <c r="BL117" s="2" t="s">
        <v>74</v>
      </c>
      <c r="BM117" s="2"/>
      <c r="BN117" s="2"/>
      <c r="BO117" s="2"/>
      <c r="BP117" s="2"/>
      <c r="BQ117" s="2"/>
      <c r="BR117" s="2"/>
      <c r="BS117" s="2"/>
      <c r="BT117" s="2"/>
      <c r="BU117" s="2"/>
      <c r="BV117" s="2"/>
      <c r="BW117" s="2" t="s">
        <v>74</v>
      </c>
      <c r="BX117" s="2"/>
      <c r="BY117" s="2"/>
      <c r="BZ117" s="2"/>
      <c r="CA117" s="2"/>
      <c r="CB117" s="2"/>
      <c r="CC117" s="2"/>
      <c r="CD117" s="2"/>
      <c r="CE117" s="2"/>
      <c r="CF117" s="2"/>
      <c r="CG117" s="2"/>
    </row>
    <row r="118" spans="6:85" hidden="1">
      <c r="F118" s="2"/>
      <c r="H118" s="2" t="s">
        <v>36</v>
      </c>
      <c r="I118" s="35" t="s">
        <v>36</v>
      </c>
      <c r="J118" s="2" t="s">
        <v>75</v>
      </c>
      <c r="K118" s="2"/>
      <c r="L118" s="2"/>
      <c r="M118" s="2" t="s">
        <v>36</v>
      </c>
      <c r="N118" s="2" t="s">
        <v>36</v>
      </c>
      <c r="O118" s="2"/>
      <c r="P118" s="2"/>
      <c r="Q118" s="2"/>
      <c r="R118" s="2"/>
      <c r="S118" s="2"/>
      <c r="U118" s="2"/>
      <c r="W118" s="2" t="s">
        <v>36</v>
      </c>
      <c r="X118" s="35" t="s">
        <v>36</v>
      </c>
      <c r="Y118" s="2" t="s">
        <v>75</v>
      </c>
      <c r="Z118" s="2"/>
      <c r="AA118" s="2"/>
      <c r="AB118" s="2" t="s">
        <v>36</v>
      </c>
      <c r="AC118" s="2" t="s">
        <v>36</v>
      </c>
      <c r="AD118" s="2"/>
      <c r="AE118" s="2"/>
      <c r="AF118" s="2"/>
      <c r="AG118" s="2"/>
      <c r="AH118" s="2"/>
      <c r="AI118" s="2"/>
      <c r="AK118" s="2" t="s">
        <v>36</v>
      </c>
      <c r="AL118" s="35" t="s">
        <v>36</v>
      </c>
      <c r="AM118" s="2" t="s">
        <v>75</v>
      </c>
      <c r="AN118" s="2"/>
      <c r="AO118" s="2"/>
      <c r="AP118" s="2" t="s">
        <v>36</v>
      </c>
      <c r="AQ118" s="2" t="s">
        <v>36</v>
      </c>
      <c r="AR118" s="2"/>
      <c r="AS118" s="2"/>
      <c r="AT118" s="2"/>
      <c r="AU118" s="2"/>
      <c r="AW118" s="2"/>
      <c r="AY118" s="2" t="s">
        <v>36</v>
      </c>
      <c r="AZ118" s="35" t="s">
        <v>36</v>
      </c>
      <c r="BA118" s="2" t="s">
        <v>75</v>
      </c>
      <c r="BB118" s="2"/>
      <c r="BC118" s="2"/>
      <c r="BD118" s="2" t="s">
        <v>36</v>
      </c>
      <c r="BE118" s="2" t="s">
        <v>36</v>
      </c>
      <c r="BF118" s="2"/>
      <c r="BG118" s="2"/>
      <c r="BH118" s="2"/>
      <c r="BK118" s="2"/>
      <c r="BM118" s="2" t="s">
        <v>36</v>
      </c>
      <c r="BN118" s="35" t="s">
        <v>36</v>
      </c>
      <c r="BO118" s="2" t="s">
        <v>75</v>
      </c>
      <c r="BP118" s="2"/>
      <c r="BQ118" s="2"/>
      <c r="BR118" s="2" t="s">
        <v>36</v>
      </c>
      <c r="BS118" s="2" t="s">
        <v>36</v>
      </c>
      <c r="BT118" s="2"/>
      <c r="BU118" s="2"/>
      <c r="BV118" s="2"/>
      <c r="BX118" s="2" t="s">
        <v>36</v>
      </c>
      <c r="BY118" s="35" t="s">
        <v>36</v>
      </c>
      <c r="BZ118" s="2" t="s">
        <v>75</v>
      </c>
      <c r="CA118" s="2"/>
      <c r="CB118" s="2"/>
      <c r="CC118" s="2" t="s">
        <v>36</v>
      </c>
      <c r="CD118" s="2" t="s">
        <v>36</v>
      </c>
      <c r="CE118" s="2"/>
      <c r="CF118" s="2"/>
      <c r="CG118" s="2"/>
    </row>
    <row r="119" spans="6:85" hidden="1">
      <c r="F119" s="2">
        <v>1</v>
      </c>
      <c r="G119" s="2" t="s">
        <v>76</v>
      </c>
      <c r="H119" s="2" t="str">
        <f>IF((J$9=G119),F119,"")</f>
        <v/>
      </c>
      <c r="I119" s="35" t="str">
        <f>IFERROR(SMALL(H$119:H$120,F119),"")</f>
        <v/>
      </c>
      <c r="J119" s="2"/>
      <c r="K119" s="2">
        <v>1</v>
      </c>
      <c r="L119" s="2" t="s">
        <v>18</v>
      </c>
      <c r="M119" s="2">
        <f>IF((J$9=L119),K119,"")</f>
        <v>1</v>
      </c>
      <c r="N119" s="2">
        <f>IFERROR(SMALL(M$119:M$127,K119),"")</f>
        <v>1</v>
      </c>
      <c r="O119" s="2"/>
      <c r="P119" s="2"/>
      <c r="Q119" s="2"/>
      <c r="R119" s="2"/>
      <c r="S119" s="2"/>
      <c r="U119" s="2">
        <v>1</v>
      </c>
      <c r="V119" s="2" t="s">
        <v>76</v>
      </c>
      <c r="W119" s="2" t="str">
        <f>IF((K$9=V119),U119,"")</f>
        <v/>
      </c>
      <c r="X119" s="35">
        <f>IFERROR(SMALL(W$119:W$120,U119),"")</f>
        <v>2</v>
      </c>
      <c r="Y119" s="2"/>
      <c r="Z119" s="2">
        <v>1</v>
      </c>
      <c r="AA119" s="2" t="s">
        <v>18</v>
      </c>
      <c r="AB119" s="2" t="str">
        <f>IF((K$9=AA119),Z119,"")</f>
        <v/>
      </c>
      <c r="AC119" s="2">
        <f>IFERROR(SMALL(AB$119:AB$127,Z119),"")</f>
        <v>9</v>
      </c>
      <c r="AD119" s="2"/>
      <c r="AE119" s="2"/>
      <c r="AF119" s="2"/>
      <c r="AG119" s="2"/>
      <c r="AH119" s="2"/>
      <c r="AI119" s="2">
        <v>1</v>
      </c>
      <c r="AJ119" s="2" t="s">
        <v>76</v>
      </c>
      <c r="AK119" s="2" t="str">
        <f>IF((L$9=AJ119),AI119,"")</f>
        <v/>
      </c>
      <c r="AL119" s="35" t="str">
        <f>IFERROR(SMALL(AK$119,AI119),"")</f>
        <v/>
      </c>
      <c r="AM119" s="2"/>
      <c r="AN119" s="2">
        <v>1</v>
      </c>
      <c r="AO119" s="2" t="s">
        <v>18</v>
      </c>
      <c r="AP119" s="2" t="str">
        <f>IF((L$9=AO119),AN119,"")</f>
        <v/>
      </c>
      <c r="AQ119" s="2" t="str">
        <f>IFERROR(SMALL(AP$119:AP$126,AN119),"")</f>
        <v/>
      </c>
      <c r="AR119" s="2"/>
      <c r="AS119" s="2"/>
      <c r="AT119" s="2"/>
      <c r="AU119" s="2"/>
      <c r="AW119" s="2">
        <v>1</v>
      </c>
      <c r="AX119" s="2" t="s">
        <v>76</v>
      </c>
      <c r="AY119" s="2" t="str">
        <f>IF((M$9=AX119),AW119,"")</f>
        <v/>
      </c>
      <c r="AZ119" s="35" t="str">
        <f>IFERROR(SMALL(AY$119,AW119),"")</f>
        <v/>
      </c>
      <c r="BA119" s="2"/>
      <c r="BB119" s="2">
        <v>1</v>
      </c>
      <c r="BC119" s="2" t="s">
        <v>18</v>
      </c>
      <c r="BD119" s="2" t="str">
        <f>IF((M$9=BC119),BB119,"")</f>
        <v/>
      </c>
      <c r="BE119" s="2" t="str">
        <f>IFERROR(SMALL(BD$119:BD$126,BB119),"")</f>
        <v/>
      </c>
      <c r="BF119" s="2"/>
      <c r="BG119" s="2"/>
      <c r="BH119" s="2"/>
      <c r="BK119" s="2">
        <v>1</v>
      </c>
      <c r="BL119" s="2" t="s">
        <v>76</v>
      </c>
      <c r="BM119" s="2" t="str">
        <f>IF((N$9=BL119),BK119,"")</f>
        <v/>
      </c>
      <c r="BN119" s="35" t="str">
        <f>IFERROR(SMALL(BM$119,BK119),"")</f>
        <v/>
      </c>
      <c r="BO119" s="2"/>
      <c r="BP119" s="2">
        <v>1</v>
      </c>
      <c r="BQ119" s="2" t="s">
        <v>18</v>
      </c>
      <c r="BR119" s="2" t="str">
        <f>IF((N$9=BQ119),BP119,"")</f>
        <v/>
      </c>
      <c r="BS119" s="2" t="str">
        <f>IFERROR(SMALL(BR$119:BR$126,BP119),"")</f>
        <v/>
      </c>
      <c r="BT119" s="2"/>
      <c r="BU119" s="2"/>
      <c r="BV119" s="2">
        <v>1</v>
      </c>
      <c r="BW119" s="2" t="s">
        <v>76</v>
      </c>
      <c r="BX119" s="2" t="str">
        <f>IF((O$9=BW119),BV119,"")</f>
        <v/>
      </c>
      <c r="BY119" s="35" t="str">
        <f>IFERROR(SMALL(BX$119,BV119),"")</f>
        <v/>
      </c>
      <c r="BZ119" s="2"/>
      <c r="CA119" s="2">
        <v>1</v>
      </c>
      <c r="CB119" s="2" t="s">
        <v>18</v>
      </c>
      <c r="CC119" s="2" t="str">
        <f>IF((O$9=CB119),CA119,"")</f>
        <v/>
      </c>
      <c r="CD119" s="2" t="str">
        <f>IFERROR(SMALL(CC$119:CC$126,CA119),"")</f>
        <v/>
      </c>
      <c r="CE119" s="2"/>
      <c r="CF119" s="2"/>
      <c r="CG119" s="2"/>
    </row>
    <row r="120" spans="6:85" hidden="1">
      <c r="F120" s="2">
        <v>2</v>
      </c>
      <c r="G120" s="17" t="s">
        <v>11</v>
      </c>
      <c r="H120" s="2" t="str">
        <f>IF((J$9=G120),F120,"")</f>
        <v/>
      </c>
      <c r="I120" s="2"/>
      <c r="J120" s="2"/>
      <c r="K120" s="2">
        <v>2</v>
      </c>
      <c r="L120" s="2" t="s">
        <v>77</v>
      </c>
      <c r="M120" s="2" t="str">
        <f t="shared" ref="M120:M127" si="30">IF((J$9=L120),K120,"")</f>
        <v/>
      </c>
      <c r="N120" s="2"/>
      <c r="O120" s="2"/>
      <c r="P120" s="2"/>
      <c r="Q120" s="2"/>
      <c r="R120" s="2"/>
      <c r="S120" s="2"/>
      <c r="U120" s="2">
        <v>2</v>
      </c>
      <c r="V120" s="17" t="s">
        <v>11</v>
      </c>
      <c r="W120" s="2">
        <f>IF((K$9=V120),U120,"")</f>
        <v>2</v>
      </c>
      <c r="X120" s="2"/>
      <c r="Y120" s="2"/>
      <c r="Z120" s="2">
        <v>2</v>
      </c>
      <c r="AA120" s="2" t="s">
        <v>77</v>
      </c>
      <c r="AB120" s="2" t="str">
        <f t="shared" ref="AB120:AB127" si="31">IF((K$9=AA120),Z120,"")</f>
        <v/>
      </c>
      <c r="AC120" s="2"/>
      <c r="AD120" s="2"/>
      <c r="AE120" s="2"/>
      <c r="AF120" s="2"/>
      <c r="AG120" s="2"/>
      <c r="AH120" s="2"/>
      <c r="AI120" s="2"/>
      <c r="AJ120" s="2"/>
      <c r="AK120" s="2"/>
      <c r="AL120" s="2"/>
      <c r="AM120" s="2"/>
      <c r="AN120" s="2">
        <v>2</v>
      </c>
      <c r="AO120" s="2" t="s">
        <v>77</v>
      </c>
      <c r="AP120" s="2" t="str">
        <f t="shared" ref="AP120:AP126" si="32">IF((L$9=AO120),AN120,"")</f>
        <v/>
      </c>
      <c r="AQ120" s="2"/>
      <c r="AR120" s="2"/>
      <c r="AS120" s="2"/>
      <c r="AT120" s="2"/>
      <c r="AU120" s="2"/>
      <c r="AW120" s="2"/>
      <c r="AX120" s="2"/>
      <c r="AY120" s="2"/>
      <c r="AZ120" s="2"/>
      <c r="BA120" s="2"/>
      <c r="BB120" s="2">
        <v>2</v>
      </c>
      <c r="BC120" s="2" t="s">
        <v>77</v>
      </c>
      <c r="BD120" s="2" t="str">
        <f t="shared" ref="BD120:BD126" si="33">IF((M$9=BC120),BB120,"")</f>
        <v/>
      </c>
      <c r="BE120" s="2"/>
      <c r="BF120" s="2"/>
      <c r="BG120" s="2"/>
      <c r="BH120" s="2"/>
      <c r="BK120" s="2"/>
      <c r="BL120" s="2"/>
      <c r="BM120" s="2"/>
      <c r="BN120" s="2"/>
      <c r="BO120" s="2"/>
      <c r="BP120" s="2">
        <v>2</v>
      </c>
      <c r="BQ120" s="2" t="s">
        <v>77</v>
      </c>
      <c r="BR120" s="2" t="str">
        <f t="shared" ref="BR120:BR126" si="34">IF((N$9=BQ120),BP120,"")</f>
        <v/>
      </c>
      <c r="BS120" s="2"/>
      <c r="BT120" s="2"/>
      <c r="BU120" s="2"/>
      <c r="BV120" s="2"/>
      <c r="BW120" s="2"/>
      <c r="BX120" s="2"/>
      <c r="BY120" s="2"/>
      <c r="BZ120" s="2"/>
      <c r="CA120" s="2">
        <v>2</v>
      </c>
      <c r="CB120" s="2" t="s">
        <v>77</v>
      </c>
      <c r="CC120" s="2" t="str">
        <f t="shared" ref="CC120:CC126" si="35">IF((O$9=CB120),CA120,"")</f>
        <v/>
      </c>
      <c r="CD120" s="2"/>
      <c r="CE120" s="2"/>
      <c r="CF120" s="2"/>
      <c r="CG120" s="2"/>
    </row>
    <row r="121" spans="6:85" hidden="1">
      <c r="F121" s="2"/>
      <c r="G121" s="2"/>
      <c r="H121" s="2"/>
      <c r="I121" s="2"/>
      <c r="J121" s="2"/>
      <c r="K121" s="2">
        <v>3</v>
      </c>
      <c r="L121" s="2" t="s">
        <v>78</v>
      </c>
      <c r="M121" s="2" t="str">
        <f>IF((J$9=L121),K121,"")</f>
        <v/>
      </c>
      <c r="N121" s="2"/>
      <c r="O121" s="2"/>
      <c r="P121" s="2"/>
      <c r="Q121" s="2"/>
      <c r="R121" s="2"/>
      <c r="S121" s="2"/>
      <c r="U121" s="2"/>
      <c r="V121" s="2"/>
      <c r="W121" s="2"/>
      <c r="X121" s="2"/>
      <c r="Y121" s="2"/>
      <c r="Z121" s="2">
        <v>3</v>
      </c>
      <c r="AA121" s="2" t="s">
        <v>78</v>
      </c>
      <c r="AB121" s="2" t="str">
        <f t="shared" si="31"/>
        <v/>
      </c>
      <c r="AC121" s="2"/>
      <c r="AD121" s="2"/>
      <c r="AE121" s="2"/>
      <c r="AF121" s="2"/>
      <c r="AG121" s="2"/>
      <c r="AH121" s="2"/>
      <c r="AI121" s="2"/>
      <c r="AJ121" s="2"/>
      <c r="AK121" s="2"/>
      <c r="AL121" s="2"/>
      <c r="AM121" s="2"/>
      <c r="AN121" s="2">
        <v>3</v>
      </c>
      <c r="AO121" s="2" t="s">
        <v>78</v>
      </c>
      <c r="AP121" s="2" t="str">
        <f t="shared" si="32"/>
        <v/>
      </c>
      <c r="AQ121" s="2"/>
      <c r="AR121" s="2"/>
      <c r="AS121" s="2"/>
      <c r="AT121" s="2"/>
      <c r="AU121" s="2"/>
      <c r="AW121" s="2"/>
      <c r="AX121" s="2"/>
      <c r="AY121" s="2"/>
      <c r="AZ121" s="2"/>
      <c r="BA121" s="2"/>
      <c r="BB121" s="2">
        <v>3</v>
      </c>
      <c r="BC121" s="2" t="s">
        <v>78</v>
      </c>
      <c r="BD121" s="2" t="str">
        <f t="shared" si="33"/>
        <v/>
      </c>
      <c r="BE121" s="2"/>
      <c r="BF121" s="2"/>
      <c r="BG121" s="2"/>
      <c r="BH121" s="2"/>
      <c r="BK121" s="2"/>
      <c r="BL121" s="2"/>
      <c r="BM121" s="2"/>
      <c r="BN121" s="2"/>
      <c r="BO121" s="2"/>
      <c r="BP121" s="2">
        <v>3</v>
      </c>
      <c r="BQ121" s="2" t="s">
        <v>78</v>
      </c>
      <c r="BR121" s="2" t="str">
        <f t="shared" si="34"/>
        <v/>
      </c>
      <c r="BS121" s="2"/>
      <c r="BT121" s="2"/>
      <c r="BU121" s="2"/>
      <c r="BV121" s="2"/>
      <c r="BW121" s="2"/>
      <c r="BX121" s="2"/>
      <c r="BY121" s="2"/>
      <c r="BZ121" s="2"/>
      <c r="CA121" s="2">
        <v>3</v>
      </c>
      <c r="CB121" s="2" t="s">
        <v>78</v>
      </c>
      <c r="CC121" s="2" t="str">
        <f t="shared" si="35"/>
        <v/>
      </c>
      <c r="CD121" s="2"/>
      <c r="CE121" s="2"/>
      <c r="CF121" s="2"/>
      <c r="CG121" s="2"/>
    </row>
    <row r="122" spans="6:85" hidden="1">
      <c r="F122" s="2"/>
      <c r="G122" s="2"/>
      <c r="H122" s="2"/>
      <c r="I122" s="2"/>
      <c r="J122" s="2"/>
      <c r="K122" s="2">
        <v>4</v>
      </c>
      <c r="L122" s="2" t="s">
        <v>79</v>
      </c>
      <c r="M122" s="2" t="str">
        <f>IF((J$9=L122),K122,"")</f>
        <v/>
      </c>
      <c r="N122" s="2"/>
      <c r="O122" s="2"/>
      <c r="P122" s="2"/>
      <c r="Q122" s="2"/>
      <c r="R122" s="2"/>
      <c r="S122" s="2"/>
      <c r="U122" s="2"/>
      <c r="V122" s="2"/>
      <c r="W122" s="2"/>
      <c r="X122" s="2"/>
      <c r="Y122" s="2"/>
      <c r="Z122" s="2">
        <v>4</v>
      </c>
      <c r="AA122" s="2" t="s">
        <v>79</v>
      </c>
      <c r="AB122" s="2" t="str">
        <f t="shared" si="31"/>
        <v/>
      </c>
      <c r="AC122" s="2"/>
      <c r="AD122" s="2"/>
      <c r="AE122" s="2"/>
      <c r="AF122" s="2"/>
      <c r="AG122" s="2"/>
      <c r="AH122" s="2"/>
      <c r="AI122" s="2"/>
      <c r="AJ122" s="2"/>
      <c r="AK122" s="2"/>
      <c r="AL122" s="2"/>
      <c r="AM122" s="2"/>
      <c r="AN122" s="2">
        <v>4</v>
      </c>
      <c r="AO122" s="2" t="s">
        <v>79</v>
      </c>
      <c r="AP122" s="2" t="str">
        <f t="shared" si="32"/>
        <v/>
      </c>
      <c r="AQ122" s="2"/>
      <c r="AR122" s="2"/>
      <c r="AS122" s="2"/>
      <c r="AT122" s="2"/>
      <c r="AU122" s="2"/>
      <c r="AW122" s="2"/>
      <c r="AX122" s="2"/>
      <c r="AY122" s="2"/>
      <c r="AZ122" s="2"/>
      <c r="BA122" s="2"/>
      <c r="BB122" s="2">
        <v>4</v>
      </c>
      <c r="BC122" s="2" t="s">
        <v>79</v>
      </c>
      <c r="BD122" s="2" t="str">
        <f t="shared" si="33"/>
        <v/>
      </c>
      <c r="BE122" s="2"/>
      <c r="BF122" s="2"/>
      <c r="BG122" s="2"/>
      <c r="BH122" s="2"/>
      <c r="BK122" s="2"/>
      <c r="BL122" s="2"/>
      <c r="BM122" s="2"/>
      <c r="BN122" s="2"/>
      <c r="BO122" s="2"/>
      <c r="BP122" s="2">
        <v>4</v>
      </c>
      <c r="BQ122" s="2" t="s">
        <v>79</v>
      </c>
      <c r="BR122" s="2" t="str">
        <f t="shared" si="34"/>
        <v/>
      </c>
      <c r="BS122" s="2"/>
      <c r="BT122" s="2"/>
      <c r="BU122" s="2"/>
      <c r="BV122" s="2"/>
      <c r="BW122" s="2"/>
      <c r="BX122" s="2"/>
      <c r="BY122" s="2"/>
      <c r="BZ122" s="2"/>
      <c r="CA122" s="2">
        <v>4</v>
      </c>
      <c r="CB122" s="2" t="s">
        <v>79</v>
      </c>
      <c r="CC122" s="2" t="str">
        <f t="shared" si="35"/>
        <v/>
      </c>
      <c r="CD122" s="2"/>
      <c r="CE122" s="2"/>
      <c r="CF122" s="2"/>
      <c r="CG122" s="2"/>
    </row>
    <row r="123" spans="6:85" hidden="1">
      <c r="F123" s="2"/>
      <c r="G123" s="2"/>
      <c r="H123" s="2"/>
      <c r="I123" s="2"/>
      <c r="J123" s="2"/>
      <c r="K123" s="2">
        <v>5</v>
      </c>
      <c r="L123" s="2" t="s">
        <v>80</v>
      </c>
      <c r="M123" s="2" t="str">
        <f t="shared" si="30"/>
        <v/>
      </c>
      <c r="N123" s="2"/>
      <c r="O123" s="2"/>
      <c r="P123" s="2"/>
      <c r="Q123" s="2"/>
      <c r="R123" s="2"/>
      <c r="S123" s="2"/>
      <c r="U123" s="2"/>
      <c r="V123" s="2"/>
      <c r="W123" s="2"/>
      <c r="X123" s="2"/>
      <c r="Y123" s="2"/>
      <c r="Z123" s="2">
        <v>5</v>
      </c>
      <c r="AA123" s="2" t="s">
        <v>80</v>
      </c>
      <c r="AB123" s="2" t="str">
        <f t="shared" si="31"/>
        <v/>
      </c>
      <c r="AC123" s="2"/>
      <c r="AD123" s="2"/>
      <c r="AE123" s="2"/>
      <c r="AF123" s="2"/>
      <c r="AG123" s="2"/>
      <c r="AH123" s="2"/>
      <c r="AI123" s="2"/>
      <c r="AJ123" s="2"/>
      <c r="AK123" s="2"/>
      <c r="AL123" s="2"/>
      <c r="AM123" s="2"/>
      <c r="AN123" s="2">
        <v>5</v>
      </c>
      <c r="AO123" s="2" t="s">
        <v>80</v>
      </c>
      <c r="AP123" s="2" t="str">
        <f t="shared" si="32"/>
        <v/>
      </c>
      <c r="AQ123" s="2"/>
      <c r="AR123" s="2"/>
      <c r="AS123" s="2"/>
      <c r="AT123" s="2"/>
      <c r="AU123" s="2"/>
      <c r="AW123" s="2"/>
      <c r="AX123" s="2"/>
      <c r="AY123" s="2"/>
      <c r="AZ123" s="2"/>
      <c r="BA123" s="2"/>
      <c r="BB123" s="2">
        <v>5</v>
      </c>
      <c r="BC123" s="2" t="s">
        <v>80</v>
      </c>
      <c r="BD123" s="2" t="str">
        <f t="shared" si="33"/>
        <v/>
      </c>
      <c r="BE123" s="2"/>
      <c r="BF123" s="2"/>
      <c r="BG123" s="2"/>
      <c r="BH123" s="2"/>
      <c r="BK123" s="2"/>
      <c r="BL123" s="2"/>
      <c r="BM123" s="2"/>
      <c r="BN123" s="2"/>
      <c r="BO123" s="2"/>
      <c r="BP123" s="2">
        <v>5</v>
      </c>
      <c r="BQ123" s="2" t="s">
        <v>80</v>
      </c>
      <c r="BR123" s="2" t="str">
        <f t="shared" si="34"/>
        <v/>
      </c>
      <c r="BS123" s="2"/>
      <c r="BT123" s="2"/>
      <c r="BU123" s="2"/>
      <c r="BV123" s="2"/>
      <c r="BW123" s="2"/>
      <c r="BX123" s="2"/>
      <c r="BY123" s="2"/>
      <c r="BZ123" s="2"/>
      <c r="CA123" s="2">
        <v>5</v>
      </c>
      <c r="CB123" s="2" t="s">
        <v>80</v>
      </c>
      <c r="CC123" s="2" t="str">
        <f t="shared" si="35"/>
        <v/>
      </c>
      <c r="CD123" s="2"/>
      <c r="CE123" s="2"/>
      <c r="CF123" s="2"/>
      <c r="CG123" s="2"/>
    </row>
    <row r="124" spans="6:85" hidden="1">
      <c r="F124" s="2"/>
      <c r="G124" s="2"/>
      <c r="H124" s="2"/>
      <c r="I124" s="2"/>
      <c r="J124" s="2"/>
      <c r="K124" s="2">
        <v>6</v>
      </c>
      <c r="L124" s="2" t="s">
        <v>81</v>
      </c>
      <c r="M124" s="2" t="str">
        <f t="shared" si="30"/>
        <v/>
      </c>
      <c r="N124" s="2"/>
      <c r="O124" s="2"/>
      <c r="P124" s="2"/>
      <c r="Q124" s="2"/>
      <c r="R124" s="2"/>
      <c r="S124" s="2"/>
      <c r="U124" s="2"/>
      <c r="V124" s="2"/>
      <c r="W124" s="2"/>
      <c r="X124" s="2"/>
      <c r="Y124" s="2"/>
      <c r="Z124" s="2">
        <v>6</v>
      </c>
      <c r="AA124" s="2" t="s">
        <v>81</v>
      </c>
      <c r="AB124" s="2" t="str">
        <f t="shared" si="31"/>
        <v/>
      </c>
      <c r="AC124" s="2"/>
      <c r="AD124" s="2"/>
      <c r="AE124" s="2"/>
      <c r="AF124" s="2"/>
      <c r="AG124" s="2"/>
      <c r="AH124" s="2"/>
      <c r="AI124" s="2"/>
      <c r="AJ124" s="2"/>
      <c r="AK124" s="2"/>
      <c r="AL124" s="2"/>
      <c r="AM124" s="2"/>
      <c r="AN124" s="2">
        <v>6</v>
      </c>
      <c r="AO124" s="2" t="s">
        <v>81</v>
      </c>
      <c r="AP124" s="2" t="str">
        <f t="shared" si="32"/>
        <v/>
      </c>
      <c r="AQ124" s="2"/>
      <c r="AR124" s="2"/>
      <c r="AS124" s="2"/>
      <c r="AT124" s="2"/>
      <c r="AU124" s="2"/>
      <c r="AW124" s="2"/>
      <c r="AX124" s="2"/>
      <c r="AY124" s="2"/>
      <c r="AZ124" s="2"/>
      <c r="BA124" s="2"/>
      <c r="BB124" s="2">
        <v>6</v>
      </c>
      <c r="BC124" s="2" t="s">
        <v>81</v>
      </c>
      <c r="BD124" s="2" t="str">
        <f t="shared" si="33"/>
        <v/>
      </c>
      <c r="BE124" s="2"/>
      <c r="BF124" s="2"/>
      <c r="BG124" s="2"/>
      <c r="BH124" s="2"/>
      <c r="BK124" s="2"/>
      <c r="BL124" s="2"/>
      <c r="BM124" s="2"/>
      <c r="BN124" s="2"/>
      <c r="BO124" s="2"/>
      <c r="BP124" s="2">
        <v>6</v>
      </c>
      <c r="BQ124" s="2" t="s">
        <v>81</v>
      </c>
      <c r="BR124" s="2" t="str">
        <f t="shared" si="34"/>
        <v/>
      </c>
      <c r="BS124" s="2"/>
      <c r="BT124" s="2"/>
      <c r="BU124" s="2"/>
      <c r="BV124" s="2"/>
      <c r="BW124" s="2"/>
      <c r="BX124" s="2"/>
      <c r="BY124" s="2"/>
      <c r="BZ124" s="2"/>
      <c r="CA124" s="2">
        <v>6</v>
      </c>
      <c r="CB124" s="2" t="s">
        <v>81</v>
      </c>
      <c r="CC124" s="2" t="str">
        <f t="shared" si="35"/>
        <v/>
      </c>
      <c r="CD124" s="2"/>
      <c r="CE124" s="2"/>
      <c r="CF124" s="2"/>
      <c r="CG124" s="2"/>
    </row>
    <row r="125" spans="6:85" hidden="1">
      <c r="F125" s="2"/>
      <c r="G125" s="2"/>
      <c r="H125" s="2"/>
      <c r="I125" s="2"/>
      <c r="J125" s="2"/>
      <c r="K125" s="2">
        <v>7</v>
      </c>
      <c r="L125" s="2" t="s">
        <v>82</v>
      </c>
      <c r="M125" s="2" t="str">
        <f t="shared" si="30"/>
        <v/>
      </c>
      <c r="N125" s="2"/>
      <c r="O125" s="2"/>
      <c r="P125" s="2"/>
      <c r="Q125" s="2"/>
      <c r="R125" s="2"/>
      <c r="S125" s="2"/>
      <c r="U125" s="2"/>
      <c r="V125" s="2"/>
      <c r="W125" s="2"/>
      <c r="X125" s="2"/>
      <c r="Y125" s="2"/>
      <c r="Z125" s="2">
        <v>7</v>
      </c>
      <c r="AA125" s="2" t="s">
        <v>82</v>
      </c>
      <c r="AB125" s="2" t="str">
        <f t="shared" si="31"/>
        <v/>
      </c>
      <c r="AC125" s="2"/>
      <c r="AD125" s="2"/>
      <c r="AE125" s="2"/>
      <c r="AF125" s="2"/>
      <c r="AG125" s="2"/>
      <c r="AH125" s="2"/>
      <c r="AI125" s="2"/>
      <c r="AJ125" s="2"/>
      <c r="AK125" s="2"/>
      <c r="AL125" s="2"/>
      <c r="AM125" s="2"/>
      <c r="AN125" s="2">
        <v>7</v>
      </c>
      <c r="AO125" s="2" t="s">
        <v>82</v>
      </c>
      <c r="AP125" s="2" t="str">
        <f t="shared" si="32"/>
        <v/>
      </c>
      <c r="AQ125" s="2"/>
      <c r="AR125" s="2"/>
      <c r="AS125" s="2"/>
      <c r="AT125" s="2"/>
      <c r="AU125" s="2"/>
      <c r="AW125" s="2"/>
      <c r="AX125" s="2"/>
      <c r="AY125" s="2"/>
      <c r="AZ125" s="2"/>
      <c r="BA125" s="2"/>
      <c r="BB125" s="2">
        <v>7</v>
      </c>
      <c r="BC125" s="2" t="s">
        <v>82</v>
      </c>
      <c r="BD125" s="2" t="str">
        <f t="shared" si="33"/>
        <v/>
      </c>
      <c r="BE125" s="2"/>
      <c r="BF125" s="2"/>
      <c r="BG125" s="2"/>
      <c r="BH125" s="2"/>
      <c r="BK125" s="2"/>
      <c r="BL125" s="2"/>
      <c r="BM125" s="2"/>
      <c r="BN125" s="2"/>
      <c r="BO125" s="2"/>
      <c r="BP125" s="2">
        <v>7</v>
      </c>
      <c r="BQ125" s="2" t="s">
        <v>82</v>
      </c>
      <c r="BR125" s="2" t="str">
        <f t="shared" si="34"/>
        <v/>
      </c>
      <c r="BS125" s="2"/>
      <c r="BT125" s="2"/>
      <c r="BU125" s="2"/>
      <c r="BV125" s="2"/>
      <c r="BW125" s="2"/>
      <c r="BX125" s="2"/>
      <c r="BY125" s="2"/>
      <c r="BZ125" s="2"/>
      <c r="CA125" s="2">
        <v>7</v>
      </c>
      <c r="CB125" s="2" t="s">
        <v>82</v>
      </c>
      <c r="CC125" s="2" t="str">
        <f t="shared" si="35"/>
        <v/>
      </c>
      <c r="CD125" s="2"/>
      <c r="CE125" s="2"/>
      <c r="CF125" s="2"/>
      <c r="CG125" s="2"/>
    </row>
    <row r="126" spans="6:85" hidden="1">
      <c r="F126" s="2"/>
      <c r="G126" s="2"/>
      <c r="H126" s="2">
        <f>((4.25*32562)/8.5)+23713</f>
        <v>39994</v>
      </c>
      <c r="I126" s="2"/>
      <c r="J126" s="2"/>
      <c r="K126" s="2">
        <v>8</v>
      </c>
      <c r="L126" s="2" t="s">
        <v>83</v>
      </c>
      <c r="M126" s="2" t="str">
        <f t="shared" si="30"/>
        <v/>
      </c>
      <c r="N126" s="2"/>
      <c r="O126" s="2"/>
      <c r="P126" s="2"/>
      <c r="Q126" s="2"/>
      <c r="R126" s="2"/>
      <c r="S126" s="2"/>
      <c r="U126" s="2"/>
      <c r="V126" s="2"/>
      <c r="W126" s="2"/>
      <c r="X126" s="2"/>
      <c r="Y126" s="2"/>
      <c r="Z126" s="2">
        <v>8</v>
      </c>
      <c r="AA126" s="2" t="s">
        <v>83</v>
      </c>
      <c r="AB126" s="2" t="str">
        <f t="shared" si="31"/>
        <v/>
      </c>
      <c r="AC126" s="2"/>
      <c r="AD126" s="2"/>
      <c r="AE126" s="2"/>
      <c r="AF126" s="2"/>
      <c r="AG126" s="2"/>
      <c r="AH126" s="2"/>
      <c r="AI126" s="2"/>
      <c r="AJ126" s="2"/>
      <c r="AK126" s="2"/>
      <c r="AL126" s="2"/>
      <c r="AM126" s="2"/>
      <c r="AN126" s="2">
        <v>8</v>
      </c>
      <c r="AO126" s="2" t="s">
        <v>83</v>
      </c>
      <c r="AP126" s="2" t="str">
        <f t="shared" si="32"/>
        <v/>
      </c>
      <c r="AQ126" s="2"/>
      <c r="AR126" s="2"/>
      <c r="AS126" s="2"/>
      <c r="AT126" s="2"/>
      <c r="AU126" s="2"/>
      <c r="AW126" s="2"/>
      <c r="AX126" s="2"/>
      <c r="AY126" s="2"/>
      <c r="AZ126" s="2"/>
      <c r="BA126" s="2"/>
      <c r="BB126" s="2">
        <v>8</v>
      </c>
      <c r="BC126" s="2" t="s">
        <v>83</v>
      </c>
      <c r="BD126" s="2" t="str">
        <f t="shared" si="33"/>
        <v/>
      </c>
      <c r="BE126" s="2"/>
      <c r="BF126" s="2"/>
      <c r="BG126" s="2"/>
      <c r="BH126" s="2"/>
      <c r="BK126" s="2"/>
      <c r="BL126" s="2"/>
      <c r="BM126" s="2"/>
      <c r="BN126" s="2"/>
      <c r="BO126" s="2"/>
      <c r="BP126" s="2">
        <v>8</v>
      </c>
      <c r="BQ126" s="2" t="s">
        <v>83</v>
      </c>
      <c r="BR126" s="2" t="str">
        <f t="shared" si="34"/>
        <v/>
      </c>
      <c r="BS126" s="2"/>
      <c r="BT126" s="2"/>
      <c r="BU126" s="2"/>
      <c r="BV126" s="2"/>
      <c r="BW126" s="2"/>
      <c r="BX126" s="2"/>
      <c r="BY126" s="2"/>
      <c r="BZ126" s="2"/>
      <c r="CA126" s="2">
        <v>8</v>
      </c>
      <c r="CB126" s="2" t="s">
        <v>83</v>
      </c>
      <c r="CC126" s="2" t="str">
        <f t="shared" si="35"/>
        <v/>
      </c>
      <c r="CD126" s="2"/>
      <c r="CE126" s="2"/>
      <c r="CF126" s="2"/>
      <c r="CG126" s="2"/>
    </row>
    <row r="127" spans="6:85" hidden="1">
      <c r="F127" s="2"/>
      <c r="G127" s="2"/>
      <c r="H127" s="2"/>
      <c r="I127" s="2"/>
      <c r="J127" s="2"/>
      <c r="K127" s="2">
        <v>9</v>
      </c>
      <c r="L127" s="17" t="s">
        <v>11</v>
      </c>
      <c r="M127" s="2" t="str">
        <f t="shared" si="30"/>
        <v/>
      </c>
      <c r="N127" s="2"/>
      <c r="O127" s="2"/>
      <c r="P127" s="2"/>
      <c r="Q127" s="2"/>
      <c r="R127" s="2"/>
      <c r="S127" s="2"/>
      <c r="U127" s="2"/>
      <c r="V127" s="2"/>
      <c r="W127" s="2"/>
      <c r="X127" s="2"/>
      <c r="Y127" s="2"/>
      <c r="Z127" s="2">
        <v>9</v>
      </c>
      <c r="AA127" s="17" t="s">
        <v>11</v>
      </c>
      <c r="AB127" s="2">
        <f t="shared" si="31"/>
        <v>9</v>
      </c>
      <c r="AC127" s="2"/>
      <c r="AD127" s="2"/>
      <c r="AE127" s="2"/>
      <c r="AF127" s="2"/>
      <c r="AG127" s="2"/>
      <c r="AH127" s="2"/>
      <c r="AI127" s="2"/>
      <c r="AJ127" s="2"/>
      <c r="AK127" s="2"/>
      <c r="AL127" s="2"/>
      <c r="AM127" s="2"/>
      <c r="AN127" s="2"/>
      <c r="AO127" s="2"/>
      <c r="AP127" s="2"/>
      <c r="AQ127" s="2"/>
      <c r="AR127" s="2"/>
      <c r="AS127" s="2"/>
      <c r="AT127" s="2"/>
      <c r="AU127" s="2"/>
      <c r="AW127" s="2"/>
      <c r="AX127" s="2"/>
      <c r="AY127" s="2"/>
      <c r="AZ127" s="2"/>
      <c r="BA127" s="2"/>
      <c r="BB127" s="2"/>
      <c r="BC127" s="2"/>
      <c r="BD127" s="2"/>
      <c r="BE127" s="2"/>
      <c r="BF127" s="2"/>
      <c r="BG127" s="2"/>
      <c r="BH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row>
    <row r="128" spans="6:85" hidden="1">
      <c r="F128" s="2"/>
      <c r="G128" s="2"/>
      <c r="H128" s="2"/>
      <c r="I128" s="2"/>
      <c r="J128" s="2"/>
      <c r="K128" s="2"/>
      <c r="L128" s="2"/>
      <c r="M128" s="2"/>
      <c r="N128" s="2"/>
      <c r="O128" s="2"/>
      <c r="P128" s="2"/>
      <c r="Q128" s="2"/>
      <c r="R128" s="2"/>
      <c r="S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W128" s="2"/>
      <c r="AX128" s="2"/>
      <c r="AY128" s="2"/>
      <c r="AZ128" s="2"/>
      <c r="BA128" s="2"/>
      <c r="BB128" s="2"/>
      <c r="BC128" s="2"/>
      <c r="BD128" s="2"/>
      <c r="BE128" s="2"/>
      <c r="BF128" s="2"/>
      <c r="BG128" s="2"/>
      <c r="BH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row>
    <row r="129" spans="6:85" hidden="1">
      <c r="F129" s="2"/>
      <c r="G129" s="2"/>
      <c r="H129" s="2"/>
      <c r="I129" s="12" t="s">
        <v>69</v>
      </c>
      <c r="J129" s="2" t="s">
        <v>58</v>
      </c>
      <c r="K129" s="2" t="s">
        <v>58</v>
      </c>
      <c r="L129" s="12" t="s">
        <v>59</v>
      </c>
      <c r="M129" s="2" t="s">
        <v>60</v>
      </c>
      <c r="N129" s="2" t="s">
        <v>61</v>
      </c>
      <c r="O129" s="2" t="s">
        <v>62</v>
      </c>
      <c r="P129" s="2"/>
      <c r="Q129" s="2"/>
      <c r="R129" s="2"/>
      <c r="S129" s="2"/>
      <c r="U129" s="2"/>
      <c r="V129" s="2"/>
      <c r="W129" s="2"/>
      <c r="X129" s="12" t="s">
        <v>69</v>
      </c>
      <c r="Y129" s="2" t="s">
        <v>58</v>
      </c>
      <c r="Z129" s="2" t="s">
        <v>58</v>
      </c>
      <c r="AA129" s="12" t="s">
        <v>59</v>
      </c>
      <c r="AB129" s="2" t="s">
        <v>60</v>
      </c>
      <c r="AC129" s="2" t="s">
        <v>61</v>
      </c>
      <c r="AD129" s="2" t="s">
        <v>62</v>
      </c>
      <c r="AE129" s="2"/>
      <c r="AF129" s="2"/>
      <c r="AG129" s="2"/>
      <c r="AH129" s="2"/>
      <c r="AI129" s="2"/>
      <c r="AJ129" s="2"/>
      <c r="AK129" s="2"/>
      <c r="AL129" s="12" t="s">
        <v>69</v>
      </c>
      <c r="AM129" s="2" t="s">
        <v>58</v>
      </c>
      <c r="AN129" s="2" t="s">
        <v>58</v>
      </c>
      <c r="AO129" s="12" t="s">
        <v>59</v>
      </c>
      <c r="AP129" s="2" t="s">
        <v>60</v>
      </c>
      <c r="AQ129" s="2" t="s">
        <v>61</v>
      </c>
      <c r="AR129" s="2" t="s">
        <v>62</v>
      </c>
      <c r="AS129" s="2"/>
      <c r="AT129" s="2"/>
      <c r="AU129" s="2"/>
      <c r="AW129" s="2"/>
      <c r="AX129" s="2"/>
      <c r="AY129" s="2"/>
      <c r="AZ129" s="12" t="s">
        <v>69</v>
      </c>
      <c r="BA129" s="2" t="s">
        <v>58</v>
      </c>
      <c r="BB129" s="2" t="s">
        <v>58</v>
      </c>
      <c r="BC129" s="12" t="s">
        <v>59</v>
      </c>
      <c r="BD129" s="2" t="s">
        <v>60</v>
      </c>
      <c r="BE129" s="2" t="s">
        <v>61</v>
      </c>
      <c r="BF129" s="2" t="s">
        <v>62</v>
      </c>
      <c r="BG129" s="2"/>
      <c r="BH129" s="2"/>
      <c r="BK129" s="2"/>
      <c r="BL129" s="2"/>
      <c r="BM129" s="2"/>
      <c r="BN129" s="12" t="s">
        <v>69</v>
      </c>
      <c r="BO129" s="2" t="s">
        <v>58</v>
      </c>
      <c r="BP129" s="2" t="s">
        <v>58</v>
      </c>
      <c r="BQ129" s="12" t="s">
        <v>59</v>
      </c>
      <c r="BR129" s="2" t="s">
        <v>60</v>
      </c>
      <c r="BS129" s="2" t="s">
        <v>61</v>
      </c>
      <c r="BT129" s="2" t="s">
        <v>62</v>
      </c>
      <c r="BU129" s="2"/>
      <c r="BV129" s="2"/>
      <c r="BW129" s="2"/>
      <c r="BX129" s="2"/>
      <c r="BY129" s="12" t="s">
        <v>69</v>
      </c>
      <c r="BZ129" s="2" t="s">
        <v>58</v>
      </c>
      <c r="CA129" s="2" t="s">
        <v>58</v>
      </c>
      <c r="CB129" s="12" t="s">
        <v>59</v>
      </c>
      <c r="CC129" s="2" t="s">
        <v>60</v>
      </c>
      <c r="CD129" s="2" t="s">
        <v>61</v>
      </c>
      <c r="CE129" s="2" t="s">
        <v>62</v>
      </c>
      <c r="CF129" s="2"/>
      <c r="CG129" s="2"/>
    </row>
    <row r="130" spans="6:85" hidden="1">
      <c r="F130" s="2">
        <v>1</v>
      </c>
      <c r="G130" s="3" t="s">
        <v>84</v>
      </c>
      <c r="H130" s="3"/>
      <c r="I130" s="3" t="str">
        <f>IF(I119=1,5.25,"")</f>
        <v/>
      </c>
      <c r="J130" s="3" t="str">
        <f t="shared" ref="J130:J135" si="36">IF((J$8=G130),F130,"")</f>
        <v/>
      </c>
      <c r="K130" s="3" t="str">
        <f>IFERROR(SMALL(J$130:J$134,F130),"")</f>
        <v/>
      </c>
      <c r="L130" s="58">
        <v>177</v>
      </c>
      <c r="M130" s="3" t="b">
        <f>IF(K$130=F130,J$10*I130*4281)</f>
        <v>0</v>
      </c>
      <c r="N130" s="3" t="b">
        <f>IF(K$130=F130,J$11*I130*4281)</f>
        <v>0</v>
      </c>
      <c r="O130" s="3">
        <f>(((M130-N130)/1000)*0.000001)*J6</f>
        <v>0</v>
      </c>
      <c r="P130" s="2" t="s">
        <v>63</v>
      </c>
      <c r="Q130" s="2"/>
      <c r="R130" s="2"/>
      <c r="S130" s="2"/>
      <c r="U130" s="2">
        <v>1</v>
      </c>
      <c r="V130" s="3" t="s">
        <v>84</v>
      </c>
      <c r="W130" s="3"/>
      <c r="X130" s="3" t="str">
        <f>IF(X119=1,5.25,"")</f>
        <v/>
      </c>
      <c r="Y130" s="3" t="str">
        <f>IF((K$8=V130),U130,"")</f>
        <v/>
      </c>
      <c r="Z130" s="3" t="str">
        <f>IFERROR(SMALL(Y$130:Y$134,U130),"")</f>
        <v/>
      </c>
      <c r="AA130" s="58">
        <v>177</v>
      </c>
      <c r="AB130" s="3" t="b">
        <f>IF(Z$130=U130,K$10*X130*4281)</f>
        <v>0</v>
      </c>
      <c r="AC130" s="3" t="b">
        <f>IF(Z$130=U130,K$11*X130*4281)</f>
        <v>0</v>
      </c>
      <c r="AD130" s="3">
        <f>(((AB130-AC130)/1000)*0.000001)*K6</f>
        <v>0</v>
      </c>
      <c r="AE130" s="2" t="s">
        <v>63</v>
      </c>
      <c r="AF130" s="2"/>
      <c r="AG130" s="2"/>
      <c r="AH130" s="2"/>
      <c r="AI130" s="2">
        <v>1</v>
      </c>
      <c r="AJ130" s="3" t="s">
        <v>84</v>
      </c>
      <c r="AK130" s="3"/>
      <c r="AL130" s="3" t="str">
        <f>IF(AL119=1,5.25,"")</f>
        <v/>
      </c>
      <c r="AM130" s="3" t="str">
        <f>IF((L$8=AJ130),AI130,"")</f>
        <v/>
      </c>
      <c r="AN130" s="3" t="str">
        <f>IFERROR(SMALL(AM$130:AM$134,AI130),"")</f>
        <v/>
      </c>
      <c r="AO130" s="58">
        <v>177</v>
      </c>
      <c r="AP130" s="3" t="b">
        <f>IF(AN$130=AI130,L$10*AL130*4281)</f>
        <v>0</v>
      </c>
      <c r="AQ130" s="3" t="b">
        <f>IF(AN$130=AI130,L$11*AL130*4281)</f>
        <v>0</v>
      </c>
      <c r="AR130" s="3">
        <f>(((AP130-AQ130)/1000)*0.000001)*L6</f>
        <v>0</v>
      </c>
      <c r="AS130" s="2" t="s">
        <v>63</v>
      </c>
      <c r="AT130" s="2"/>
      <c r="AU130" s="2"/>
      <c r="AW130" s="2">
        <v>1</v>
      </c>
      <c r="AX130" s="3" t="s">
        <v>84</v>
      </c>
      <c r="AY130" s="3"/>
      <c r="AZ130" s="3" t="str">
        <f>IF(AZ119=1,5.25,"")</f>
        <v/>
      </c>
      <c r="BA130" s="3" t="str">
        <f>IF((M$8=AX130),AW130,"")</f>
        <v/>
      </c>
      <c r="BB130" s="3" t="str">
        <f>IFERROR(SMALL(BA$130:BA$134,AW130),"")</f>
        <v/>
      </c>
      <c r="BC130" s="58">
        <v>177</v>
      </c>
      <c r="BD130" s="3" t="b">
        <f>IF(BB$130=AW130,M$10*AZ130*4281)</f>
        <v>0</v>
      </c>
      <c r="BE130" s="3" t="b">
        <f>IF(BB$130=AW130,M$11*AZ130*4281)</f>
        <v>0</v>
      </c>
      <c r="BF130" s="3">
        <f>(((BD130-BE130)/1000)*0.000001)*M6</f>
        <v>0</v>
      </c>
      <c r="BG130" s="2" t="s">
        <v>63</v>
      </c>
      <c r="BH130" s="2"/>
      <c r="BK130" s="2">
        <v>1</v>
      </c>
      <c r="BL130" s="3" t="s">
        <v>84</v>
      </c>
      <c r="BM130" s="3"/>
      <c r="BN130" s="3" t="str">
        <f>IF(BN119=1,5.25,"")</f>
        <v/>
      </c>
      <c r="BO130" s="3" t="str">
        <f>IF((N$8=BL130),BK130,"")</f>
        <v/>
      </c>
      <c r="BP130" s="3" t="str">
        <f>IFERROR(SMALL(BO$130:BO$134,BK130),"")</f>
        <v/>
      </c>
      <c r="BQ130" s="58">
        <v>177</v>
      </c>
      <c r="BR130" s="3" t="b">
        <f>IF(BP$130=BK130,N$10*BN130*4281)</f>
        <v>0</v>
      </c>
      <c r="BS130" s="3" t="b">
        <f>IF(BP$130=BK130,N$11*BN130*4281)</f>
        <v>0</v>
      </c>
      <c r="BT130" s="3">
        <f>(((BR130-BS130)/1000)*0.000001)*N6</f>
        <v>0</v>
      </c>
      <c r="BU130" s="2" t="s">
        <v>63</v>
      </c>
      <c r="BV130" s="2">
        <v>1</v>
      </c>
      <c r="BW130" s="3" t="s">
        <v>84</v>
      </c>
      <c r="BX130" s="3"/>
      <c r="BY130" s="3" t="str">
        <f>IF(BY119=1,5.25,"")</f>
        <v/>
      </c>
      <c r="BZ130" s="3" t="str">
        <f>IF((O$8=BW130),BV130,"")</f>
        <v/>
      </c>
      <c r="CA130" s="3" t="str">
        <f>IFERROR(SMALL(BZ$130:BZ$134,BV130),"")</f>
        <v/>
      </c>
      <c r="CB130" s="58">
        <v>177</v>
      </c>
      <c r="CC130" s="3" t="b">
        <f>IF(CA$130=BV130,O$10*BY130*4281)</f>
        <v>0</v>
      </c>
      <c r="CD130" s="3" t="b">
        <f>IF(CA$130=BV130,O$11*BY130*4281)</f>
        <v>0</v>
      </c>
      <c r="CE130" s="3">
        <f>(((CC130-CD130)/1000)*0.000001)*O6</f>
        <v>0</v>
      </c>
      <c r="CF130" s="2" t="s">
        <v>63</v>
      </c>
      <c r="CG130" s="2"/>
    </row>
    <row r="131" spans="6:85" hidden="1">
      <c r="F131" s="2">
        <v>2</v>
      </c>
      <c r="G131" s="3" t="s">
        <v>85</v>
      </c>
      <c r="H131" s="3"/>
      <c r="I131" s="3">
        <f>IF(N119=1,0.06442,IF(N119=2,0.326,IF(N119=3,0.207,IF(N119=4,0.189,IF(N119=5,0.008,IF(N119=6,0.008,IF(N119=7,0.008,IF(N119=8,0.008,""))))))))</f>
        <v>6.4420000000000005E-2</v>
      </c>
      <c r="J131" s="3" t="str">
        <f t="shared" si="36"/>
        <v/>
      </c>
      <c r="K131" s="3" t="str">
        <f>IFERROR(SMALL(J$135:J$139,F131),"")</f>
        <v/>
      </c>
      <c r="L131" s="58">
        <v>101</v>
      </c>
      <c r="M131" s="3" t="b">
        <f>IF(K$130=F131,J$10*I131*23713)</f>
        <v>0</v>
      </c>
      <c r="N131" s="3" t="b">
        <f>IF(K$130=F131,J$11*I131*23713)</f>
        <v>0</v>
      </c>
      <c r="O131" s="3">
        <f>(((M131-N131)/1000)*0.000001)*J6</f>
        <v>0</v>
      </c>
      <c r="P131" s="2" t="s">
        <v>63</v>
      </c>
      <c r="Q131" s="2"/>
      <c r="R131" s="2"/>
      <c r="S131" s="2"/>
      <c r="U131" s="2">
        <v>2</v>
      </c>
      <c r="V131" s="3" t="s">
        <v>85</v>
      </c>
      <c r="W131" s="3"/>
      <c r="X131" s="3" t="str">
        <f>IF(AC119=1,0.06442,IF(AC119=2,0.326,IF(AC119=3,0.207,IF(AC119=4,0.189,IF(AC119=5,0.008,IF(AC119=6,0.008,IF(AC119=7,0.008,IF(AC119=8,0.008,""))))))))</f>
        <v/>
      </c>
      <c r="Y131" s="3" t="str">
        <f>IF((K$8=V131),U131,"")</f>
        <v/>
      </c>
      <c r="Z131" s="3" t="str">
        <f>IFERROR(SMALL(Y$130:Y$134,U131),"")</f>
        <v/>
      </c>
      <c r="AA131" s="58">
        <v>101</v>
      </c>
      <c r="AB131" s="3" t="b">
        <f>IF(Z$130=U131,K$10*X131*23713)</f>
        <v>0</v>
      </c>
      <c r="AC131" s="3" t="b">
        <f>IF(Z$130=U131,K$11*X131*23713)</f>
        <v>0</v>
      </c>
      <c r="AD131" s="3">
        <f>(((AB131-AC131)/1000)*0.000001)*K6</f>
        <v>0</v>
      </c>
      <c r="AE131" s="2" t="s">
        <v>63</v>
      </c>
      <c r="AF131" s="2"/>
      <c r="AG131" s="2"/>
      <c r="AH131" s="2"/>
      <c r="AI131" s="2">
        <v>2</v>
      </c>
      <c r="AJ131" s="3" t="s">
        <v>85</v>
      </c>
      <c r="AK131" s="3"/>
      <c r="AL131" s="3" t="str">
        <f>IF(AQ119=1,0.06442,IF(AQ119=2,0.326,IF(AQ119=3,0.207,IF(AQ119=4,0.189,IF(AQ119=5,0.008,IF(AQ119=6,0.008,IF(AQ119=7,0.008,IF(AQ119=8,0.008,""))))))))</f>
        <v/>
      </c>
      <c r="AM131" s="3" t="str">
        <f>IF((L$8=AJ131),AI131,"")</f>
        <v/>
      </c>
      <c r="AN131" s="3" t="str">
        <f>IFERROR(SMALL(AM$130:AM$134,AI131),"")</f>
        <v/>
      </c>
      <c r="AO131" s="58">
        <v>101</v>
      </c>
      <c r="AP131" s="3" t="b">
        <f>IF(AN$130=AI131,L$10*AL131*23713)</f>
        <v>0</v>
      </c>
      <c r="AQ131" s="3" t="b">
        <f>IF(AN$130=AI131,L$11*AL131*23713)</f>
        <v>0</v>
      </c>
      <c r="AR131" s="3">
        <f>(((AP131-AQ131)/1000)*0.000001)*L6</f>
        <v>0</v>
      </c>
      <c r="AS131" s="2" t="s">
        <v>63</v>
      </c>
      <c r="AT131" s="2"/>
      <c r="AU131" s="2"/>
      <c r="AW131" s="2">
        <v>2</v>
      </c>
      <c r="AX131" s="3" t="s">
        <v>85</v>
      </c>
      <c r="AY131" s="3"/>
      <c r="AZ131" s="3" t="str">
        <f>IF(BE119=1,0.06442,IF(BE119=2,0.326,IF(BE119=3,0.207,IF(BE119=4,0.189,IF(BE119=5,0.008,IF(BE119=6,0.008,IF(BE119=7,0.008,IF(BE119=8,0.008,""))))))))</f>
        <v/>
      </c>
      <c r="BA131" s="3" t="str">
        <f>IF((M$8=AX131),AW131,"")</f>
        <v/>
      </c>
      <c r="BB131" s="3" t="str">
        <f>IFERROR(SMALL(BA$130:BA$134,AW131),"")</f>
        <v/>
      </c>
      <c r="BC131" s="58">
        <v>101</v>
      </c>
      <c r="BD131" s="3" t="b">
        <f>IF(BB$130=AW131,M$10*AZ131*23713)</f>
        <v>0</v>
      </c>
      <c r="BE131" s="3" t="b">
        <f>IF(BB$130=AW131,M$11*AZ131*23713)</f>
        <v>0</v>
      </c>
      <c r="BF131" s="3">
        <f>(((BD131-BE131)/1000)*0.000001)*M6</f>
        <v>0</v>
      </c>
      <c r="BG131" s="2" t="s">
        <v>63</v>
      </c>
      <c r="BH131" s="2"/>
      <c r="BK131" s="2">
        <v>2</v>
      </c>
      <c r="BL131" s="3" t="s">
        <v>85</v>
      </c>
      <c r="BM131" s="3"/>
      <c r="BN131" s="3" t="str">
        <f>IF(BS119=1,0.06442,IF(BS119=2,0.326,IF(BS119=3,0.207,IF(BS119=4,0.189,IF(BS119=5,0.008,IF(BS119=6,0.008,IF(BS119=7,0.008,IF(BS119=8,0.008,""))))))))</f>
        <v/>
      </c>
      <c r="BO131" s="3" t="str">
        <f>IF((N$8=BL131),BK131,"")</f>
        <v/>
      </c>
      <c r="BP131" s="3" t="str">
        <f>IFERROR(SMALL(BO$130:BO$134,BK131),"")</f>
        <v/>
      </c>
      <c r="BQ131" s="58">
        <v>101</v>
      </c>
      <c r="BR131" s="3" t="b">
        <f>IF(BP$130=BK131,N$10*BN131*23713)</f>
        <v>0</v>
      </c>
      <c r="BS131" s="3" t="b">
        <f>IF(BP$130=BK131,N$11*BN131*23713)</f>
        <v>0</v>
      </c>
      <c r="BT131" s="3">
        <f>(((BR131-BS131)/1000)*0.000001)*N6</f>
        <v>0</v>
      </c>
      <c r="BU131" s="2" t="s">
        <v>63</v>
      </c>
      <c r="BV131" s="2">
        <v>2</v>
      </c>
      <c r="BW131" s="3" t="s">
        <v>85</v>
      </c>
      <c r="BX131" s="3"/>
      <c r="BY131" s="3" t="str">
        <f>IF(CD119=1,0.06442,IF(CD119=2,0.326,IF(CD119=3,0.207,IF(CD119=4,0.189,IF(CD119=5,0.008,IF(CD119=6,0.008,IF(CD119=7,0.008,IF(CD119=8,0.008,""))))))))</f>
        <v/>
      </c>
      <c r="BZ131" s="3" t="str">
        <f>IF((O$8=BW131),BV131,"")</f>
        <v/>
      </c>
      <c r="CA131" s="3" t="str">
        <f>IFERROR(SMALL(BZ$130:BZ$134,BV131),"")</f>
        <v/>
      </c>
      <c r="CB131" s="58">
        <v>101</v>
      </c>
      <c r="CC131" s="3" t="b">
        <f>IF(CA$130=BV131,O$10*BY131*23713)</f>
        <v>0</v>
      </c>
      <c r="CD131" s="3" t="b">
        <f>IF(CA$130=BV131,O$11*BY131*23713)</f>
        <v>0</v>
      </c>
      <c r="CE131" s="3">
        <f>(((CC131-CD131)/1000)*0.000001)*O6</f>
        <v>0</v>
      </c>
      <c r="CF131" s="2" t="s">
        <v>63</v>
      </c>
      <c r="CG131" s="2"/>
    </row>
    <row r="132" spans="6:85" s="65" customFormat="1" hidden="1">
      <c r="F132" s="62">
        <v>3</v>
      </c>
      <c r="G132" s="63" t="s">
        <v>86</v>
      </c>
      <c r="H132" s="63"/>
      <c r="I132" s="63">
        <f>(IF(N119=1,0.10771, IF(N119=2, 0.326, IF(N119=3, 0.207, IF(N119=4, 0.189, IF(N119=5, 0.008, IF(N119=6, 0.008, IF(N119=7, 0.008, IF(N119=8, 0.008,"")))))))))</f>
        <v>0.10771</v>
      </c>
      <c r="J132" s="63" t="str">
        <f t="shared" si="36"/>
        <v/>
      </c>
      <c r="K132" s="63" t="str">
        <f>IFERROR(SMALL(J$135:J$139,F132),"")</f>
        <v/>
      </c>
      <c r="L132" s="64">
        <v>155</v>
      </c>
      <c r="M132" s="63" t="b">
        <f>IF(K$130=F132,J$10*I132*39994)</f>
        <v>0</v>
      </c>
      <c r="N132" s="63" t="b">
        <f>IF(K$130=F132,J$11*I132*39994)</f>
        <v>0</v>
      </c>
      <c r="O132" s="63">
        <f>(((M132-N132)/1000)*0.000001)*J6</f>
        <v>0</v>
      </c>
      <c r="P132" s="62" t="s">
        <v>63</v>
      </c>
      <c r="Q132" s="62"/>
      <c r="R132" s="62"/>
      <c r="S132" s="62"/>
      <c r="U132" s="62">
        <v>3</v>
      </c>
      <c r="V132" s="63" t="s">
        <v>86</v>
      </c>
      <c r="W132" s="63"/>
      <c r="X132" s="63" t="str">
        <f>(IF(AC119=1,0.10771, IF(AC119=2, 0.326, IF(AC119=3, 0.207, IF(AC119=4, 0.189, IF(AC119=5, 0.008, IF(AC119=6, 0.008, IF(AC119=7, 0.008, IF(AC119=8, 0.008,"")))))))))</f>
        <v/>
      </c>
      <c r="Y132" s="63" t="str">
        <f>IF((K$8=V132),U132,"")</f>
        <v/>
      </c>
      <c r="Z132" s="63" t="str">
        <f>IFERROR(SMALL(Y$130:Y$134,U132),"")</f>
        <v/>
      </c>
      <c r="AA132" s="64">
        <v>155</v>
      </c>
      <c r="AB132" s="63" t="b">
        <f>IF(Z$130=U132,K$10*X132*39994)</f>
        <v>0</v>
      </c>
      <c r="AC132" s="63" t="b">
        <f>IF(Z$130=U132,K$11*X132*39994)</f>
        <v>0</v>
      </c>
      <c r="AD132" s="63">
        <f>(((AB132-AC132)/1000)*0.000001)*$K$6</f>
        <v>0</v>
      </c>
      <c r="AE132" s="62" t="s">
        <v>63</v>
      </c>
      <c r="AF132" s="62"/>
      <c r="AG132" s="62"/>
      <c r="AH132" s="62"/>
      <c r="AI132" s="62">
        <v>3</v>
      </c>
      <c r="AJ132" s="63" t="s">
        <v>86</v>
      </c>
      <c r="AK132" s="63"/>
      <c r="AL132" s="63" t="str">
        <f>(IF(AQ119=1,0.10771, IF(AQ119=2, 0.326, IF(AQ119=3, 0.207, IF(AQ119=4, 0.189, IF(AQ119=5, 0.008, IF(AQ119=6, 0.008, IF(AQ119=7, 0.008, IF(AQ119=8, 0.008,"")))))))))</f>
        <v/>
      </c>
      <c r="AM132" s="63" t="str">
        <f>IF((L$8=AJ132),AI132,"")</f>
        <v/>
      </c>
      <c r="AN132" s="63" t="str">
        <f>IFERROR(SMALL(AM$130:AM$134,AI132),"")</f>
        <v/>
      </c>
      <c r="AO132" s="64">
        <v>155</v>
      </c>
      <c r="AP132" s="63" t="b">
        <f>IF(AN$130=AI132,L$10*AL132*39994)</f>
        <v>0</v>
      </c>
      <c r="AQ132" s="63" t="b">
        <f>IF(AN$130=AI132,L$11*AL132*39994)</f>
        <v>0</v>
      </c>
      <c r="AR132" s="63">
        <f>(((AP132-AQ132)/1000)*0.000001)*$L$6</f>
        <v>0</v>
      </c>
      <c r="AS132" s="62" t="s">
        <v>63</v>
      </c>
      <c r="AT132" s="62"/>
      <c r="AU132" s="62"/>
      <c r="AW132" s="62">
        <v>3</v>
      </c>
      <c r="AX132" s="63" t="s">
        <v>86</v>
      </c>
      <c r="AY132" s="63"/>
      <c r="AZ132" s="63" t="str">
        <f>(IF(BE119=1,0.10771, IF(BE119=2, 0.326, IF(BE119=3, 0.207, IF(BE119=4, 0.189, IF(BE119=5, 0.008, IF(BE119=6, 0.008, IF(BE119=7, 0.008, IF(BE119=8, 0.008,"")))))))))</f>
        <v/>
      </c>
      <c r="BA132" s="63" t="str">
        <f>IF((M$8=AX132),AW132,"")</f>
        <v/>
      </c>
      <c r="BB132" s="63" t="str">
        <f>IFERROR(SMALL(BA$130:BA$134,AW132),"")</f>
        <v/>
      </c>
      <c r="BC132" s="64">
        <v>155</v>
      </c>
      <c r="BD132" s="63" t="b">
        <f>IF(BB$130=AW132,M$10*AZ132*39994)</f>
        <v>0</v>
      </c>
      <c r="BE132" s="63" t="b">
        <f>IF(BB$130=AW132,M$11*AZ132*39994)</f>
        <v>0</v>
      </c>
      <c r="BF132" s="63">
        <f>(((BD132-BE132)/1000)*0.000001)*$M$6</f>
        <v>0</v>
      </c>
      <c r="BG132" s="62" t="s">
        <v>63</v>
      </c>
      <c r="BH132" s="62"/>
      <c r="BK132" s="62">
        <v>3</v>
      </c>
      <c r="BL132" s="63" t="s">
        <v>86</v>
      </c>
      <c r="BM132" s="63"/>
      <c r="BN132" s="63" t="str">
        <f>(IF(BS119=1,0.10771, IF(BS119=2, 0.326, IF(BS119=3, 0.207, IF(BS119=4, 0.189, IF(BS119=5, 0.008, IF(BS119=6, 0.008, IF(BS119=7, 0.008, IF(BS119=8, 0.008,"")))))))))</f>
        <v/>
      </c>
      <c r="BO132" s="63" t="str">
        <f>IF((N$8=BL132),BK132,"")</f>
        <v/>
      </c>
      <c r="BP132" s="63" t="str">
        <f>IFERROR(SMALL(BO$130:BO$134,BK132),"")</f>
        <v/>
      </c>
      <c r="BQ132" s="64">
        <v>155</v>
      </c>
      <c r="BR132" s="63" t="b">
        <f>IF(BP$130=BK132,N$10*BN132*39994)</f>
        <v>0</v>
      </c>
      <c r="BS132" s="63" t="b">
        <f>IF(BP$130=BK132,N$11*BN132*39994)</f>
        <v>0</v>
      </c>
      <c r="BT132" s="63">
        <f>(((BR132-BS132)/1000)*0.000001)*$N$6</f>
        <v>0</v>
      </c>
      <c r="BU132" s="62" t="s">
        <v>63</v>
      </c>
      <c r="BV132" s="62">
        <v>3</v>
      </c>
      <c r="BW132" s="63" t="s">
        <v>86</v>
      </c>
      <c r="BX132" s="63"/>
      <c r="BY132" s="63" t="str">
        <f>(IF(CD119=1,0.10771, IF(CD119=2, 0.326, IF(CD119=3, 0.207, IF(CD119=4, 0.189, IF(CD119=5, 0.008, IF(CD119=6, 0.008, IF(CD119=7, 0.008, IF(CD119=8, 0.008,"")))))))))</f>
        <v/>
      </c>
      <c r="BZ132" s="63" t="str">
        <f>IF((O$8=BW132),BV132,"")</f>
        <v/>
      </c>
      <c r="CA132" s="63" t="str">
        <f>IFERROR(SMALL(BZ$130:BZ$134,BV132),"")</f>
        <v/>
      </c>
      <c r="CB132" s="64">
        <v>155</v>
      </c>
      <c r="CC132" s="63" t="b">
        <f>IF(CA$130=BV132,O$10*BY132*39994)</f>
        <v>0</v>
      </c>
      <c r="CD132" s="63" t="b">
        <f>IF(CA$130=BV132,O$11*BY132*39994)</f>
        <v>0</v>
      </c>
      <c r="CE132" s="63">
        <f>(((CC132-CD132)/1000)*0.000001)*$O$6</f>
        <v>0</v>
      </c>
      <c r="CF132" s="62" t="s">
        <v>63</v>
      </c>
      <c r="CG132" s="62"/>
    </row>
    <row r="133" spans="6:85" hidden="1">
      <c r="F133" s="2">
        <v>4</v>
      </c>
      <c r="G133" s="3" t="s">
        <v>87</v>
      </c>
      <c r="H133" s="3"/>
      <c r="I133" s="3">
        <f>IF(N119=1,0.151, IF(N119=2, 0.449, IF(N119=3, 0.29, IF(N119=4, 0.278, IF(N119=5, 0.01, IF(N119=6, 0.01, IF(N119=7, 0.01, IF(N119=8,0.01,""))))))))</f>
        <v>0.151</v>
      </c>
      <c r="J133" s="3" t="str">
        <f t="shared" si="36"/>
        <v/>
      </c>
      <c r="K133" s="3" t="str">
        <f>IFERROR(SMALL(J$135:J$139,F133),"")</f>
        <v/>
      </c>
      <c r="L133" s="58">
        <v>210</v>
      </c>
      <c r="M133" s="3" t="b">
        <f>IF(K$130=F133,J$10*I133*56275)</f>
        <v>0</v>
      </c>
      <c r="N133" s="3" t="b">
        <f>IF(K$130=F133,J$11*I133*56275)</f>
        <v>0</v>
      </c>
      <c r="O133" s="3">
        <f>(((M133-N133)/1000)*0.000001)*J6</f>
        <v>0</v>
      </c>
      <c r="P133" s="2" t="s">
        <v>63</v>
      </c>
      <c r="Q133" s="2"/>
      <c r="R133" s="2"/>
      <c r="S133" s="2"/>
      <c r="U133" s="2">
        <v>4</v>
      </c>
      <c r="V133" s="3" t="s">
        <v>87</v>
      </c>
      <c r="W133" s="3"/>
      <c r="X133" s="3" t="str">
        <f>IF(AC119=1,0.151, IF(AC119=2, 0.449, IF(AC119=3, 0.29, IF(AC119=4, 0.278, IF(AC119=5, 0.01, IF(AC119=6, 0.01, IF(AC119=7, 0.01, IF(AC119=8,0.01,""))))))))</f>
        <v/>
      </c>
      <c r="Y133" s="3" t="str">
        <f>IF((K$8=V133),U133,"")</f>
        <v/>
      </c>
      <c r="Z133" s="3" t="str">
        <f>IFERROR(SMALL(Y$130:Y$134,U133),"")</f>
        <v/>
      </c>
      <c r="AA133" s="58">
        <v>210</v>
      </c>
      <c r="AB133" s="3" t="b">
        <f>IF(Z$130=U133,K$10*X133*56275)</f>
        <v>0</v>
      </c>
      <c r="AC133" s="3" t="b">
        <f>IF(Z$130=U133,K$11*X133*56275)</f>
        <v>0</v>
      </c>
      <c r="AD133" s="3">
        <f>(((AB133-AC133)/1000)*0.000001)*$K$6</f>
        <v>0</v>
      </c>
      <c r="AE133" s="2" t="s">
        <v>63</v>
      </c>
      <c r="AF133" s="2"/>
      <c r="AG133" s="2"/>
      <c r="AH133" s="2"/>
      <c r="AI133" s="2">
        <v>4</v>
      </c>
      <c r="AJ133" s="3" t="s">
        <v>87</v>
      </c>
      <c r="AK133" s="3"/>
      <c r="AL133" s="3" t="str">
        <f>IF(AQ119=1,0.151, IF(AQ119=2, 0.449, IF(AQ119=3, 0.29, IF(AQ119=4, 0.278, IF(AQ119=5, 0.01, IF(AQ119=6, 0.01, IF(AQ119=7, 0.01, IF(AQ119=8,0.01,""))))))))</f>
        <v/>
      </c>
      <c r="AM133" s="3" t="str">
        <f>IF((L$8=AJ133),AI133,"")</f>
        <v/>
      </c>
      <c r="AN133" s="3" t="str">
        <f>IFERROR(SMALL(AM$130:AM$134,AI133),"")</f>
        <v/>
      </c>
      <c r="AO133" s="58">
        <v>210</v>
      </c>
      <c r="AP133" s="3" t="b">
        <f>IF(AN$130=AI133,L$10*AL133*56275)</f>
        <v>0</v>
      </c>
      <c r="AQ133" s="3" t="b">
        <f>IF(AN$130=AI133,L$11*AL133*56275)</f>
        <v>0</v>
      </c>
      <c r="AR133" s="3">
        <f>(((AP133-AQ133)/1000)*0.000001)*$L$6</f>
        <v>0</v>
      </c>
      <c r="AS133" s="2" t="s">
        <v>63</v>
      </c>
      <c r="AT133" s="2"/>
      <c r="AU133" s="2"/>
      <c r="AW133" s="2">
        <v>4</v>
      </c>
      <c r="AX133" s="3" t="s">
        <v>87</v>
      </c>
      <c r="AY133" s="3"/>
      <c r="AZ133" s="3" t="str">
        <f>IF(BE119=1,0.151, IF(BE119=2, 0.449, IF(BE119=3, 0.29, IF(BE119=4, 0.278, IF(BE119=5, 0.01, IF(BE119=6, 0.01, IF(BE119=7, 0.01, IF(BE119=8,0.01,""))))))))</f>
        <v/>
      </c>
      <c r="BA133" s="3" t="str">
        <f>IF((M$8=AX133),AW133,"")</f>
        <v/>
      </c>
      <c r="BB133" s="3" t="str">
        <f>IFERROR(SMALL(BA$130:BA$134,AW133),"")</f>
        <v/>
      </c>
      <c r="BC133" s="58">
        <v>210</v>
      </c>
      <c r="BD133" s="3" t="b">
        <f>IF(BB$130=AW133,M$10*AZ133*56275)</f>
        <v>0</v>
      </c>
      <c r="BE133" s="3" t="b">
        <f>IF(BB$130=AW133,M$11*AZ133*56275)</f>
        <v>0</v>
      </c>
      <c r="BF133" s="3">
        <f>(((BD133-BE133)/1000)*0.000001)*$M$6</f>
        <v>0</v>
      </c>
      <c r="BG133" s="2" t="s">
        <v>63</v>
      </c>
      <c r="BH133" s="2"/>
      <c r="BK133" s="2">
        <v>4</v>
      </c>
      <c r="BL133" s="3" t="s">
        <v>87</v>
      </c>
      <c r="BM133" s="3"/>
      <c r="BN133" s="3" t="str">
        <f>IF(BS119=1,0.151, IF(BS119=2, 0.449, IF(BS119=3, 0.29, IF(BS119=4, 0.278, IF(BS119=5, 0.01, IF(BS119=6, 0.01, IF(BS119=7, 0.01, IF(BS119=8,0.01,""))))))))</f>
        <v/>
      </c>
      <c r="BO133" s="3" t="str">
        <f>IF((N$8=BL133),BK133,"")</f>
        <v/>
      </c>
      <c r="BP133" s="3" t="str">
        <f>IFERROR(SMALL(BO$130:BO$134,BK133),"")</f>
        <v/>
      </c>
      <c r="BQ133" s="58">
        <v>210</v>
      </c>
      <c r="BR133" s="3" t="b">
        <f t="shared" ref="BR133:BR134" si="37">IF(BP$130=BK133,N$10*BN133*56275)</f>
        <v>0</v>
      </c>
      <c r="BS133" s="3" t="b">
        <f t="shared" ref="BS133:BS134" si="38">IF(BP$130=BK133,N$11*BN133*56275)</f>
        <v>0</v>
      </c>
      <c r="BT133" s="3">
        <f t="shared" ref="BT133:BT134" si="39">(((BR133-BS133)/1000)*0.000001)*$N$6</f>
        <v>0</v>
      </c>
      <c r="BU133" s="2" t="s">
        <v>63</v>
      </c>
      <c r="BV133" s="2">
        <v>4</v>
      </c>
      <c r="BW133" s="3" t="s">
        <v>87</v>
      </c>
      <c r="BX133" s="3"/>
      <c r="BY133" s="3" t="str">
        <f>IF(CD119=1,0.151, IF(CD119=2, 0.449, IF(CD119=3, 0.29, IF(CD119=4, 0.278, IF(CD119=5, 0.01, IF(CD119=6, 0.01, IF(CD119=7, 0.01, IF(CD119=8,0.01,""))))))))</f>
        <v/>
      </c>
      <c r="BZ133" s="3" t="str">
        <f>IF((O$8=BW133),BV133,"")</f>
        <v/>
      </c>
      <c r="CA133" s="3" t="str">
        <f>IFERROR(SMALL(BZ$130:BZ$134,BV133),"")</f>
        <v/>
      </c>
      <c r="CB133" s="58">
        <v>210</v>
      </c>
      <c r="CC133" s="3" t="b">
        <f t="shared" ref="CC133:CC134" si="40">IF(CA$130=BV133,O$10*BY133*56275)</f>
        <v>0</v>
      </c>
      <c r="CD133" s="3" t="b">
        <f t="shared" ref="CD133:CD134" si="41">IF(CA$130=BV133,O$11*BY133*56275)</f>
        <v>0</v>
      </c>
      <c r="CE133" s="3">
        <f t="shared" ref="CE133:CE134" si="42">(((CC133-CD133)/1000)*0.000001)*$O$6</f>
        <v>0</v>
      </c>
      <c r="CF133" s="2" t="s">
        <v>63</v>
      </c>
      <c r="CG133" s="2"/>
    </row>
    <row r="134" spans="6:85" hidden="1">
      <c r="F134" s="2">
        <v>5</v>
      </c>
      <c r="G134" s="3" t="s">
        <v>88</v>
      </c>
      <c r="H134" s="3"/>
      <c r="I134" s="3">
        <f>IF(N119=1,0.17028, IF(N119=2, 0.51, IF(N119=3, 0.326, IF(N119=4, 0.308, IF(N119=5, 0.012, IF(N119=6, 0.012, IF(N119=7, 0.012, IF(N119=8, 0.012,""))))))))</f>
        <v>0.17027999999999999</v>
      </c>
      <c r="J134" s="3" t="str">
        <f t="shared" si="36"/>
        <v/>
      </c>
      <c r="K134" s="3" t="str">
        <f>IFERROR(SMALL(J$135:J$139,F134),"")</f>
        <v/>
      </c>
      <c r="L134" s="58">
        <v>251</v>
      </c>
      <c r="M134" s="3" t="b">
        <f>IF(K$130=F134,J$10*I134*56275)</f>
        <v>0</v>
      </c>
      <c r="N134" s="3" t="b">
        <f>IF(K$130=F134,J$11*I134*56275)</f>
        <v>0</v>
      </c>
      <c r="O134" s="3">
        <f>(((M134-N134)/1000)*0.000001)*J6</f>
        <v>0</v>
      </c>
      <c r="P134" s="2" t="s">
        <v>63</v>
      </c>
      <c r="Q134" s="2"/>
      <c r="R134" s="2"/>
      <c r="S134" s="2"/>
      <c r="U134" s="2">
        <v>5</v>
      </c>
      <c r="V134" s="3" t="s">
        <v>88</v>
      </c>
      <c r="W134" s="3"/>
      <c r="X134" s="3" t="str">
        <f>IF(AC119=1,0.17028, IF(AC119=2, 0.51, IF(AC119=3, 0.326, IF(AC119=4, 0.308, IF(AC119=5, 0.012, IF(AC119=6, 0.012, IF(AC119=7, 0.012, IF(AC119=8, 0.012,""))))))))</f>
        <v/>
      </c>
      <c r="Y134" s="3" t="str">
        <f>IF((K$8=V134),U134,"")</f>
        <v/>
      </c>
      <c r="Z134" s="3" t="str">
        <f>IFERROR(SMALL(Y$130:Y$134,U134),"")</f>
        <v/>
      </c>
      <c r="AA134" s="58">
        <v>251</v>
      </c>
      <c r="AB134" s="3" t="b">
        <f>IF(Z$130=U134,K$10*X134*56275)</f>
        <v>0</v>
      </c>
      <c r="AC134" s="3" t="b">
        <f>IF(Z$130=U134,K$11*X134*56275)</f>
        <v>0</v>
      </c>
      <c r="AD134" s="3">
        <f>(((AB134-AC134)/1000)*0.000001)*$K$6</f>
        <v>0</v>
      </c>
      <c r="AE134" s="2" t="s">
        <v>63</v>
      </c>
      <c r="AF134" s="2"/>
      <c r="AG134" s="2"/>
      <c r="AH134" s="2"/>
      <c r="AI134" s="2">
        <v>5</v>
      </c>
      <c r="AJ134" s="3" t="s">
        <v>88</v>
      </c>
      <c r="AK134" s="3"/>
      <c r="AL134" s="3" t="str">
        <f>IF(AQ119=1,0.17028, IF(AQ119=2, 0.51, IF(AQ119=3, 0.326, IF(AQ119=4, 0.308, IF(AQ119=5, 0.012, IF(AQ119=6, 0.012, IF(AQ119=7, 0.012, IF(AQ119=8, 0.012,""))))))))</f>
        <v/>
      </c>
      <c r="AM134" s="3" t="str">
        <f>IF((L$8=AJ134),AI134,"")</f>
        <v/>
      </c>
      <c r="AN134" s="3" t="str">
        <f>IFERROR(SMALL(AM$130:AM$134,AI134),"")</f>
        <v/>
      </c>
      <c r="AO134" s="58">
        <v>251</v>
      </c>
      <c r="AP134" s="3" t="b">
        <f t="shared" ref="AP134" si="43">IF(AN$130=AI134,L$10*AL134*56275)</f>
        <v>0</v>
      </c>
      <c r="AQ134" s="3" t="b">
        <f>IF(AN$130=AI134,L$11*AL134*56275)</f>
        <v>0</v>
      </c>
      <c r="AR134" s="3">
        <f>(((AP134-AQ134)/1000)*0.000001)*$L$6</f>
        <v>0</v>
      </c>
      <c r="AS134" s="2" t="s">
        <v>63</v>
      </c>
      <c r="AT134" s="2"/>
      <c r="AU134" s="2"/>
      <c r="AW134" s="2">
        <v>5</v>
      </c>
      <c r="AX134" s="3" t="s">
        <v>88</v>
      </c>
      <c r="AY134" s="3"/>
      <c r="AZ134" s="3" t="str">
        <f>IF(BE119=1,0.17028, IF(BE119=2, 0.51, IF(BE119=3, 0.326, IF(BE119=4, 0.308, IF(BE119=5, 0.012, IF(BE119=6, 0.012, IF(BE119=7, 0.012, IF(BE119=8, 0.012,""))))))))</f>
        <v/>
      </c>
      <c r="BA134" s="3" t="str">
        <f>IF((M$8=AX134),AW134,"")</f>
        <v/>
      </c>
      <c r="BB134" s="3" t="str">
        <f>IFERROR(SMALL(BA$130:BA$134,AW134),"")</f>
        <v/>
      </c>
      <c r="BC134" s="58">
        <v>251</v>
      </c>
      <c r="BD134" s="3" t="b">
        <f>IF(BB$130=AW134,M$10*AZ134*56275)</f>
        <v>0</v>
      </c>
      <c r="BE134" s="3" t="b">
        <f>IF(BB$130=AW134,M$11*AZ134*56275)</f>
        <v>0</v>
      </c>
      <c r="BF134" s="3">
        <f>(((BD134-BE134)/1000)*0.000001)*$M$6</f>
        <v>0</v>
      </c>
      <c r="BG134" s="2" t="s">
        <v>63</v>
      </c>
      <c r="BH134" s="2"/>
      <c r="BK134" s="2">
        <v>5</v>
      </c>
      <c r="BL134" s="3" t="s">
        <v>88</v>
      </c>
      <c r="BM134" s="3"/>
      <c r="BN134" s="3" t="str">
        <f>IF(BS119=1,0.17028, IF(BS119=2, 0.51, IF(BS119=3, 0.326, IF(BS119=4, 0.308, IF(BS119=5, 0.012, IF(BS119=6, 0.012, IF(BS119=7, 0.012, IF(BS119=8, 0.012,""))))))))</f>
        <v/>
      </c>
      <c r="BO134" s="3" t="str">
        <f>IF((N$8=BL134),BK134,"")</f>
        <v/>
      </c>
      <c r="BP134" s="3" t="str">
        <f>IFERROR(SMALL(BO$130:BO$134,BK134),"")</f>
        <v/>
      </c>
      <c r="BQ134" s="58">
        <v>251</v>
      </c>
      <c r="BR134" s="3" t="b">
        <f t="shared" si="37"/>
        <v>0</v>
      </c>
      <c r="BS134" s="3" t="b">
        <f t="shared" si="38"/>
        <v>0</v>
      </c>
      <c r="BT134" s="3">
        <f t="shared" si="39"/>
        <v>0</v>
      </c>
      <c r="BU134" s="2" t="s">
        <v>63</v>
      </c>
      <c r="BV134" s="2">
        <v>5</v>
      </c>
      <c r="BW134" s="3" t="s">
        <v>88</v>
      </c>
      <c r="BX134" s="3"/>
      <c r="BY134" s="3" t="str">
        <f>IF(CD119=1,0.17028, IF(CD119=2, 0.51, IF(CD119=3, 0.326, IF(CD119=4, 0.308, IF(CD119=5, 0.012, IF(CD119=6, 0.012, IF(CD119=7, 0.012, IF(CD119=8, 0.012,""))))))))</f>
        <v/>
      </c>
      <c r="BZ134" s="3" t="str">
        <f>IF((O$8=BW134),BV134,"")</f>
        <v/>
      </c>
      <c r="CA134" s="3" t="str">
        <f>IFERROR(SMALL(BZ$130:BZ$134,BV134),"")</f>
        <v/>
      </c>
      <c r="CB134" s="58">
        <v>251</v>
      </c>
      <c r="CC134" s="3" t="b">
        <f t="shared" si="40"/>
        <v>0</v>
      </c>
      <c r="CD134" s="3" t="b">
        <f t="shared" si="41"/>
        <v>0</v>
      </c>
      <c r="CE134" s="3">
        <f t="shared" si="42"/>
        <v>0</v>
      </c>
      <c r="CF134" s="2" t="s">
        <v>63</v>
      </c>
      <c r="CG134" s="2"/>
    </row>
    <row r="135" spans="6:85" hidden="1">
      <c r="F135" s="2">
        <v>6</v>
      </c>
      <c r="G135" s="17" t="s">
        <v>11</v>
      </c>
      <c r="H135" s="2"/>
      <c r="I135" s="2"/>
      <c r="J135" s="2" t="str">
        <f t="shared" si="36"/>
        <v/>
      </c>
      <c r="K135" s="2" t="str">
        <f>IFERROR(SMALL(J$135:J$139,F135),"")</f>
        <v/>
      </c>
      <c r="L135" s="2"/>
      <c r="M135" s="2"/>
      <c r="N135" s="2"/>
      <c r="O135" s="2"/>
      <c r="P135" s="2"/>
      <c r="Q135" s="2"/>
      <c r="R135" s="2"/>
      <c r="S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W135" s="2"/>
      <c r="AX135" s="2"/>
      <c r="AY135" s="2"/>
      <c r="AZ135" s="2"/>
      <c r="BA135" s="2"/>
      <c r="BB135" s="2"/>
      <c r="BC135" s="2"/>
      <c r="BD135" s="2"/>
      <c r="BE135" s="2"/>
      <c r="BF135" s="2"/>
      <c r="BG135" s="2"/>
      <c r="BH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row>
    <row r="136" spans="6:85" hidden="1">
      <c r="F136" s="2"/>
      <c r="G136" s="2"/>
      <c r="H136" s="2"/>
      <c r="I136" s="12" t="s">
        <v>70</v>
      </c>
      <c r="J136" s="2" t="s">
        <v>58</v>
      </c>
      <c r="K136" s="2" t="s">
        <v>58</v>
      </c>
      <c r="L136" s="12" t="s">
        <v>59</v>
      </c>
      <c r="M136" s="2" t="s">
        <v>60</v>
      </c>
      <c r="N136" s="2" t="s">
        <v>61</v>
      </c>
      <c r="O136" s="2" t="s">
        <v>62</v>
      </c>
      <c r="P136" s="2"/>
      <c r="Q136" s="2"/>
      <c r="R136" s="2"/>
      <c r="S136" s="2"/>
      <c r="U136" s="2"/>
      <c r="V136" s="2"/>
      <c r="W136" s="2"/>
      <c r="X136" s="12" t="s">
        <v>70</v>
      </c>
      <c r="Y136" s="2" t="s">
        <v>58</v>
      </c>
      <c r="Z136" s="2" t="s">
        <v>58</v>
      </c>
      <c r="AA136" s="12" t="s">
        <v>59</v>
      </c>
      <c r="AB136" s="2" t="s">
        <v>60</v>
      </c>
      <c r="AC136" s="2" t="s">
        <v>61</v>
      </c>
      <c r="AD136" s="2" t="s">
        <v>62</v>
      </c>
      <c r="AE136" s="2"/>
      <c r="AF136" s="2"/>
      <c r="AG136" s="2"/>
      <c r="AH136" s="2"/>
      <c r="AI136" s="2"/>
      <c r="AJ136" s="2"/>
      <c r="AK136" s="2"/>
      <c r="AL136" s="12" t="s">
        <v>70</v>
      </c>
      <c r="AM136" s="2" t="s">
        <v>58</v>
      </c>
      <c r="AN136" s="2" t="s">
        <v>58</v>
      </c>
      <c r="AO136" s="12" t="s">
        <v>59</v>
      </c>
      <c r="AP136" s="2" t="s">
        <v>60</v>
      </c>
      <c r="AQ136" s="2" t="s">
        <v>61</v>
      </c>
      <c r="AR136" s="2" t="s">
        <v>62</v>
      </c>
      <c r="AS136" s="2"/>
      <c r="AT136" s="2"/>
      <c r="AU136" s="2"/>
      <c r="AW136" s="2"/>
      <c r="AX136" s="2"/>
      <c r="AY136" s="2"/>
      <c r="AZ136" s="12" t="s">
        <v>70</v>
      </c>
      <c r="BA136" s="2" t="s">
        <v>58</v>
      </c>
      <c r="BB136" s="2" t="s">
        <v>58</v>
      </c>
      <c r="BC136" s="12" t="s">
        <v>59</v>
      </c>
      <c r="BD136" s="2" t="s">
        <v>60</v>
      </c>
      <c r="BE136" s="2" t="s">
        <v>61</v>
      </c>
      <c r="BF136" s="2" t="s">
        <v>62</v>
      </c>
      <c r="BG136" s="2"/>
      <c r="BH136" s="2"/>
      <c r="BK136" s="2"/>
      <c r="BL136" s="2"/>
      <c r="BM136" s="2"/>
      <c r="BN136" s="12" t="s">
        <v>70</v>
      </c>
      <c r="BO136" s="2" t="s">
        <v>58</v>
      </c>
      <c r="BP136" s="2" t="s">
        <v>58</v>
      </c>
      <c r="BQ136" s="12" t="s">
        <v>59</v>
      </c>
      <c r="BR136" s="2" t="s">
        <v>60</v>
      </c>
      <c r="BS136" s="2" t="s">
        <v>61</v>
      </c>
      <c r="BT136" s="2" t="s">
        <v>62</v>
      </c>
      <c r="BU136" s="2"/>
      <c r="BV136" s="2"/>
      <c r="BW136" s="2"/>
      <c r="BX136" s="2"/>
      <c r="BY136" s="12" t="s">
        <v>70</v>
      </c>
      <c r="BZ136" s="2" t="s">
        <v>58</v>
      </c>
      <c r="CA136" s="2" t="s">
        <v>58</v>
      </c>
      <c r="CB136" s="12" t="s">
        <v>59</v>
      </c>
      <c r="CC136" s="2" t="s">
        <v>60</v>
      </c>
      <c r="CD136" s="2" t="s">
        <v>61</v>
      </c>
      <c r="CE136" s="2" t="s">
        <v>62</v>
      </c>
      <c r="CF136" s="2"/>
      <c r="CG136" s="2"/>
    </row>
    <row r="137" spans="6:85" hidden="1">
      <c r="F137" s="2">
        <v>1</v>
      </c>
      <c r="G137" s="3" t="s">
        <v>84</v>
      </c>
      <c r="H137" s="3"/>
      <c r="I137" s="3" t="str">
        <f>IF(I119=1,6.6,"")</f>
        <v/>
      </c>
      <c r="J137" s="3" t="str">
        <f>IF((J$8=G137),F137,"")</f>
        <v/>
      </c>
      <c r="K137" s="3" t="str">
        <f>IFERROR(SMALL(J$137:J$141,F137),"")</f>
        <v/>
      </c>
      <c r="L137" s="58">
        <v>177</v>
      </c>
      <c r="M137" s="3" t="b">
        <f>IF(K$137=F137,J$10*I137*4281)</f>
        <v>0</v>
      </c>
      <c r="N137" s="3" t="b">
        <f>IF(K$137=F137,J$11*I137*4281)</f>
        <v>0</v>
      </c>
      <c r="O137" s="3">
        <f>(((M137-N137)/1000)*0.000001)*J6</f>
        <v>0</v>
      </c>
      <c r="P137" s="2" t="s">
        <v>63</v>
      </c>
      <c r="Q137" s="2"/>
      <c r="R137" s="2"/>
      <c r="S137" s="2"/>
      <c r="U137" s="2">
        <v>1</v>
      </c>
      <c r="V137" s="3" t="s">
        <v>84</v>
      </c>
      <c r="W137" s="3"/>
      <c r="X137" s="3" t="str">
        <f>IF(X119=1,6.6,"")</f>
        <v/>
      </c>
      <c r="Y137" s="3" t="str">
        <f>IF((K$8=V137),U137,"")</f>
        <v/>
      </c>
      <c r="Z137" s="3" t="str">
        <f>IFERROR(SMALL(Y$137:Y$141,U137),"")</f>
        <v/>
      </c>
      <c r="AA137" s="58">
        <v>177</v>
      </c>
      <c r="AB137" s="3" t="b">
        <f>IF(Z$137=U137,K$10*X137*4281)</f>
        <v>0</v>
      </c>
      <c r="AC137" s="3" t="b">
        <f>IF(Z$137=U137,K$11*X137*4281)</f>
        <v>0</v>
      </c>
      <c r="AD137" s="3">
        <f>(((AB137-AC137)/1000)*0.000001)*K6</f>
        <v>0</v>
      </c>
      <c r="AE137" s="2" t="s">
        <v>63</v>
      </c>
      <c r="AF137" s="2"/>
      <c r="AG137" s="2"/>
      <c r="AH137" s="2"/>
      <c r="AI137" s="2">
        <v>1</v>
      </c>
      <c r="AJ137" s="3" t="s">
        <v>84</v>
      </c>
      <c r="AK137" s="3"/>
      <c r="AL137" s="3" t="str">
        <f>IF(AL119=1,6.6,"")</f>
        <v/>
      </c>
      <c r="AM137" s="3" t="str">
        <f>IF((L$8=AJ137),AI137,"")</f>
        <v/>
      </c>
      <c r="AN137" s="3" t="str">
        <f>IFERROR(SMALL(AM$137:AM$141,AI137),"")</f>
        <v/>
      </c>
      <c r="AO137" s="58">
        <v>177</v>
      </c>
      <c r="AP137" s="3" t="b">
        <f>IF(AN$137=AI137,L$10*AL137*4281)</f>
        <v>0</v>
      </c>
      <c r="AQ137" s="3" t="b">
        <f>IF(AN$137=AI137,L$11*AL137*4281)</f>
        <v>0</v>
      </c>
      <c r="AR137" s="3">
        <f>(((AP137-AQ137)/1000)*0.000001)*L6</f>
        <v>0</v>
      </c>
      <c r="AS137" s="2" t="s">
        <v>63</v>
      </c>
      <c r="AT137" s="2"/>
      <c r="AU137" s="2"/>
      <c r="AW137" s="2">
        <v>1</v>
      </c>
      <c r="AX137" s="3" t="s">
        <v>84</v>
      </c>
      <c r="AY137" s="3"/>
      <c r="AZ137" s="3" t="str">
        <f>IF(AZ119=1,6.6,"")</f>
        <v/>
      </c>
      <c r="BA137" s="3" t="str">
        <f>IF((M$8=AX137),AW137,"")</f>
        <v/>
      </c>
      <c r="BB137" s="3" t="str">
        <f>IFERROR(SMALL(BA$137:BA$141,AW137),"")</f>
        <v/>
      </c>
      <c r="BC137" s="58">
        <v>177</v>
      </c>
      <c r="BD137" s="3" t="b">
        <f>IF(BB$137=AW137,M$10*AZ137*4281)</f>
        <v>0</v>
      </c>
      <c r="BE137" s="3" t="b">
        <f>IF(BB$137=AW137,M$11*AZ137*4281)</f>
        <v>0</v>
      </c>
      <c r="BF137" s="3">
        <f>(((BD137-BE137)/1000)*0.000001)*M6</f>
        <v>0</v>
      </c>
      <c r="BG137" s="2" t="s">
        <v>63</v>
      </c>
      <c r="BH137" s="2"/>
      <c r="BK137" s="2">
        <v>1</v>
      </c>
      <c r="BL137" s="3" t="s">
        <v>84</v>
      </c>
      <c r="BM137" s="3"/>
      <c r="BN137" s="3" t="str">
        <f>IF(BN119=1,6.6,"")</f>
        <v/>
      </c>
      <c r="BO137" s="3" t="str">
        <f>IF((N$8=BL137),BK137,"")</f>
        <v/>
      </c>
      <c r="BP137" s="3" t="str">
        <f>IFERROR(SMALL(BO$137:BO$141,BK137),"")</f>
        <v/>
      </c>
      <c r="BQ137" s="58">
        <v>177</v>
      </c>
      <c r="BR137" s="3" t="b">
        <f>IF(BP$137=BK137,N$10*BN137*4281)</f>
        <v>0</v>
      </c>
      <c r="BS137" s="3" t="b">
        <f>IF(BP$137=BK137,N$11*BN137*4281)</f>
        <v>0</v>
      </c>
      <c r="BT137" s="3">
        <f>(((BR137-BS137)/1000)*0.000001)*N6</f>
        <v>0</v>
      </c>
      <c r="BU137" s="2" t="s">
        <v>63</v>
      </c>
      <c r="BV137" s="2">
        <v>1</v>
      </c>
      <c r="BW137" s="3" t="s">
        <v>84</v>
      </c>
      <c r="BX137" s="3"/>
      <c r="BY137" s="3" t="str">
        <f>IF(BY119=1,6.6,"")</f>
        <v/>
      </c>
      <c r="BZ137" s="3" t="str">
        <f>IF((O$8=BW137),BV137,"")</f>
        <v/>
      </c>
      <c r="CA137" s="3" t="str">
        <f>IFERROR(SMALL(BZ$137:BZ$141,BV137),"")</f>
        <v/>
      </c>
      <c r="CB137" s="58">
        <v>177</v>
      </c>
      <c r="CC137" s="3" t="b">
        <f>IF(CA$137=BV137,O$10*BY137*4281)</f>
        <v>0</v>
      </c>
      <c r="CD137" s="3" t="b">
        <f>IF(CA$137=BV137,O$11*BY137*4281)</f>
        <v>0</v>
      </c>
      <c r="CE137" s="3">
        <f>(((CC137-CD137)/1000)*0.000001)*O6</f>
        <v>0</v>
      </c>
      <c r="CF137" s="2" t="s">
        <v>63</v>
      </c>
      <c r="CG137" s="2"/>
    </row>
    <row r="138" spans="6:85" hidden="1">
      <c r="F138" s="2">
        <v>2</v>
      </c>
      <c r="G138" s="3" t="s">
        <v>85</v>
      </c>
      <c r="H138" s="3"/>
      <c r="I138" s="3">
        <f>IF(N119=1,0.7747, IF(N119=2, 5.31, IF(N119=3, 5.5, IF(N119=4, 4.3, IF(N119=5, 2.65, IF(N119=6, 1.51, IF(N119=7, 0.291, IF(N119=8, 0.291,""))))))))</f>
        <v>0.77470000000000006</v>
      </c>
      <c r="J138" s="3" t="str">
        <f>IF((J$8=G138),F138,"")</f>
        <v/>
      </c>
      <c r="K138" s="3" t="str">
        <f>IFERROR(SMALL(J$137:J$141,F138),"")</f>
        <v/>
      </c>
      <c r="L138" s="58">
        <v>101</v>
      </c>
      <c r="M138" s="3" t="b">
        <f>IF(K$137=F138,J$10*I138*23713)</f>
        <v>0</v>
      </c>
      <c r="N138" s="3" t="b">
        <f>IF(K$137=F138,J$11*I138*23713)</f>
        <v>0</v>
      </c>
      <c r="O138" s="3">
        <f>(((M138-N138)/1000)*0.000001)*J6</f>
        <v>0</v>
      </c>
      <c r="P138" s="2" t="s">
        <v>63</v>
      </c>
      <c r="Q138" s="2"/>
      <c r="R138" s="2"/>
      <c r="S138" s="2"/>
      <c r="U138" s="2">
        <v>2</v>
      </c>
      <c r="V138" s="3" t="s">
        <v>85</v>
      </c>
      <c r="W138" s="3"/>
      <c r="X138" s="3" t="str">
        <f>IF(AC119=1,0.7747, IF(AC119=2, 5.31, IF(AC119=3, 5.5, IF(AC119=4, 4.3, IF(AC119=5, 2.65, IF(AC119=6, 1.51, IF(AC119=7, 0.291, IF(AC119=8, 0.291,""))))))))</f>
        <v/>
      </c>
      <c r="Y138" s="3" t="str">
        <f>IF((K$8=V138),U138,"")</f>
        <v/>
      </c>
      <c r="Z138" s="3" t="str">
        <f>IFERROR(SMALL(Y$137:Y$141,U138),"")</f>
        <v/>
      </c>
      <c r="AA138" s="58">
        <v>101</v>
      </c>
      <c r="AB138" s="3" t="b">
        <f>IF(Z$137=U138,K$10*X138*23713)</f>
        <v>0</v>
      </c>
      <c r="AC138" s="3" t="b">
        <f>IF(Z$137=U138,K$11*X138*23713)</f>
        <v>0</v>
      </c>
      <c r="AD138" s="3">
        <f>(((AB138-AC138)/1000)*0.000001)*K6</f>
        <v>0</v>
      </c>
      <c r="AE138" s="2" t="s">
        <v>63</v>
      </c>
      <c r="AF138" s="2"/>
      <c r="AG138" s="2"/>
      <c r="AH138" s="2"/>
      <c r="AI138" s="2">
        <v>2</v>
      </c>
      <c r="AJ138" s="3" t="s">
        <v>85</v>
      </c>
      <c r="AK138" s="3"/>
      <c r="AL138" s="3" t="str">
        <f>IF(AQ119=1,0.7747, IF(AQ119=2, 5.31, IF(AQ119=3, 5.5, IF(AQ119=4, 4.3, IF(AQ119=5, 2.65, IF(AQ119=6, 1.51, IF(AQ119=7, 0.291, IF(AQ119=8, 0.291,""))))))))</f>
        <v/>
      </c>
      <c r="AM138" s="3" t="str">
        <f>IF((L$8=AJ138),AI138,"")</f>
        <v/>
      </c>
      <c r="AN138" s="3" t="str">
        <f>IFERROR(SMALL(AM$137:AM$141,AI138),"")</f>
        <v/>
      </c>
      <c r="AO138" s="58">
        <v>101</v>
      </c>
      <c r="AP138" s="3" t="b">
        <f>IF(AN$137=AI138,L$10*AL138*23713)</f>
        <v>0</v>
      </c>
      <c r="AQ138" s="3" t="b">
        <f>IF(AN$137=AI138,L$11*AL138*23713)</f>
        <v>0</v>
      </c>
      <c r="AR138" s="3">
        <f>(((AP138-AQ138)/1000)*0.000001)*L6</f>
        <v>0</v>
      </c>
      <c r="AS138" s="2" t="s">
        <v>63</v>
      </c>
      <c r="AT138" s="2"/>
      <c r="AU138" s="2"/>
      <c r="AW138" s="2">
        <v>2</v>
      </c>
      <c r="AX138" s="3" t="s">
        <v>85</v>
      </c>
      <c r="AY138" s="3"/>
      <c r="AZ138" s="3" t="str">
        <f>IF(BE119=1,0.7747, IF(BE119=2, 5.31, IF(BE119=3, 5.5, IF(BE119=4, 4.3, IF(BE119=5, 2.65, IF(BE119=6, 1.51, IF(BE119=7, 0.291, IF(BE119=8, 0.291,""))))))))</f>
        <v/>
      </c>
      <c r="BA138" s="3" t="str">
        <f>IF((M$8=AX138),AW138,"")</f>
        <v/>
      </c>
      <c r="BB138" s="3" t="str">
        <f>IFERROR(SMALL(BA$137:BA$141,AW138),"")</f>
        <v/>
      </c>
      <c r="BC138" s="58">
        <v>101</v>
      </c>
      <c r="BD138" s="3" t="b">
        <f>IF(BB$137=AW138,M$10*AZ138*23713)</f>
        <v>0</v>
      </c>
      <c r="BE138" s="3" t="b">
        <f>IF(BB$137=AW138,M$11*AZ138*23713)</f>
        <v>0</v>
      </c>
      <c r="BF138" s="3">
        <f>(((BD138-BE138)/1000)*0.000001)*M6</f>
        <v>0</v>
      </c>
      <c r="BG138" s="2" t="s">
        <v>63</v>
      </c>
      <c r="BH138" s="2"/>
      <c r="BK138" s="2">
        <v>2</v>
      </c>
      <c r="BL138" s="3" t="s">
        <v>85</v>
      </c>
      <c r="BM138" s="3"/>
      <c r="BN138" s="3" t="str">
        <f>IF(BS119=1,0.7747, IF(BS119=2, 5.31, IF(BS119=3, 5.5, IF(BS119=4, 4.3, IF(BS119=5, 2.65, IF(BS119=6, 1.51, IF(BS119=7, 0.291, IF(BS119=8, 0.291,""))))))))</f>
        <v/>
      </c>
      <c r="BO138" s="3" t="str">
        <f>IF((N$8=BL138),BK138,"")</f>
        <v/>
      </c>
      <c r="BP138" s="3" t="str">
        <f>IFERROR(SMALL(BO$137:BO$141,BK138),"")</f>
        <v/>
      </c>
      <c r="BQ138" s="58">
        <v>101</v>
      </c>
      <c r="BR138" s="3" t="b">
        <f>IF(BP$137=BK138,N$10*BN138*23713)</f>
        <v>0</v>
      </c>
      <c r="BS138" s="3" t="b">
        <f>IF(BP$137=BK138,N$11*BN138*23713)</f>
        <v>0</v>
      </c>
      <c r="BT138" s="3">
        <f>(((BR138-BS138)/1000)*0.000001)*N6</f>
        <v>0</v>
      </c>
      <c r="BU138" s="2" t="s">
        <v>63</v>
      </c>
      <c r="BV138" s="2">
        <v>2</v>
      </c>
      <c r="BW138" s="3" t="s">
        <v>85</v>
      </c>
      <c r="BX138" s="3"/>
      <c r="BY138" s="3" t="str">
        <f>IF(CD119=1,0.7747, IF(CD119=2, 5.31, IF(CD119=3, 5.5, IF(CD119=4, 4.3, IF(CD119=5, 2.65, IF(CD119=6, 1.51, IF(CD119=7, 0.291, IF(CD119=8, 0.291,""))))))))</f>
        <v/>
      </c>
      <c r="BZ138" s="3" t="str">
        <f>IF((O$8=BW138),BV138,"")</f>
        <v/>
      </c>
      <c r="CA138" s="3" t="str">
        <f>IFERROR(SMALL(BZ$137:BZ$141,BV138),"")</f>
        <v/>
      </c>
      <c r="CB138" s="58">
        <v>101</v>
      </c>
      <c r="CC138" s="3" t="b">
        <f>IF(CA$137=BV138,O$10*BY138*23713)</f>
        <v>0</v>
      </c>
      <c r="CD138" s="3" t="b">
        <f>IF(CA$137=BV138,O$11*BY138*23713)</f>
        <v>0</v>
      </c>
      <c r="CE138" s="3">
        <f>(((CC138-CD138)/1000)*0.000001)*O6</f>
        <v>0</v>
      </c>
      <c r="CF138" s="2" t="s">
        <v>63</v>
      </c>
      <c r="CG138" s="2"/>
    </row>
    <row r="139" spans="6:85" s="65" customFormat="1" hidden="1">
      <c r="F139" s="62">
        <v>3</v>
      </c>
      <c r="G139" s="63" t="s">
        <v>86</v>
      </c>
      <c r="H139" s="63"/>
      <c r="I139" s="63">
        <f>IF(N119=1,2.836, IF(N119=2,5.31, IF(N119=3, 5.5, IF(N119=4, 4.3, IF(N119=5, 2.65, IF(N119=6, 1.51, IF(N119=7, 0.291, IF(N119=8, 0.291,""))))))))</f>
        <v>2.8359999999999999</v>
      </c>
      <c r="J139" s="63" t="str">
        <f>IF((J$8=G139),F139,"")</f>
        <v/>
      </c>
      <c r="K139" s="63" t="str">
        <f>IFERROR(SMALL(J$137:J$141,F139),"")</f>
        <v/>
      </c>
      <c r="L139" s="64">
        <v>155</v>
      </c>
      <c r="M139" s="63" t="b">
        <f>IF(K$137=F139,J$10*I139*39994)</f>
        <v>0</v>
      </c>
      <c r="N139" s="63" t="b">
        <f>IF(K$137=F139,J$11*I139*39994)</f>
        <v>0</v>
      </c>
      <c r="O139" s="63">
        <f>(((M139-N139)/1000)*0.000001)*J6</f>
        <v>0</v>
      </c>
      <c r="P139" s="62" t="s">
        <v>63</v>
      </c>
      <c r="Q139" s="62"/>
      <c r="R139" s="62"/>
      <c r="S139" s="62"/>
      <c r="U139" s="62">
        <v>3</v>
      </c>
      <c r="V139" s="63" t="s">
        <v>86</v>
      </c>
      <c r="W139" s="63"/>
      <c r="X139" s="63" t="str">
        <f>IF(AC119=1,2.836, IF(AC119=2,5.31, IF(AC119=3, 5.5, IF(AC119=4, 4.3, IF(AC119=5, 2.65, IF(AC119=6, 1.51, IF(AC119=7, 0.291, IF(AC119=8, 0.291,""))))))))</f>
        <v/>
      </c>
      <c r="Y139" s="63" t="str">
        <f>IF((K$8=V139),U139,"")</f>
        <v/>
      </c>
      <c r="Z139" s="63" t="str">
        <f>IFERROR(SMALL(Y$137:Y$141,U139),"")</f>
        <v/>
      </c>
      <c r="AA139" s="64">
        <v>155</v>
      </c>
      <c r="AB139" s="63" t="b">
        <f>IF(Z$137=U139,K$10*X139*39994)</f>
        <v>0</v>
      </c>
      <c r="AC139" s="63" t="b">
        <f>IF(Z$137=U139,K$11*X139*39994)</f>
        <v>0</v>
      </c>
      <c r="AD139" s="63">
        <f>(((AB139-AC139)/1000)*0.000001)*$K$6</f>
        <v>0</v>
      </c>
      <c r="AE139" s="62" t="s">
        <v>63</v>
      </c>
      <c r="AF139" s="62"/>
      <c r="AG139" s="62"/>
      <c r="AH139" s="62"/>
      <c r="AI139" s="62">
        <v>3</v>
      </c>
      <c r="AJ139" s="63" t="s">
        <v>86</v>
      </c>
      <c r="AK139" s="63"/>
      <c r="AL139" s="63" t="str">
        <f>IF(AQ119=1,2.836, IF(AQ119=2,5.31, IF(AQ119=3, 5.5, IF(AQ119=4, 4.3, IF(AQ119=5, 2.65, IF(AQ119=6, 1.51, IF(AQ119=7, 0.291, IF(AQ119=8, 0.291,""))))))))</f>
        <v/>
      </c>
      <c r="AM139" s="63" t="str">
        <f>IF((L$8=AJ139),AI139,"")</f>
        <v/>
      </c>
      <c r="AN139" s="63" t="str">
        <f>IFERROR(SMALL(AM$137:AM$141,AI139),"")</f>
        <v/>
      </c>
      <c r="AO139" s="64">
        <v>155</v>
      </c>
      <c r="AP139" s="63" t="b">
        <f>IF(AN$137=AI139,L$10*AL139*39994)</f>
        <v>0</v>
      </c>
      <c r="AQ139" s="63" t="b">
        <f>IF(AN$137=AI139,L$11*AL139*39994)</f>
        <v>0</v>
      </c>
      <c r="AR139" s="63">
        <f>(((AP139-AQ139)/1000)*0.000001)*$L$6</f>
        <v>0</v>
      </c>
      <c r="AS139" s="62" t="s">
        <v>63</v>
      </c>
      <c r="AT139" s="62"/>
      <c r="AU139" s="62"/>
      <c r="AW139" s="62">
        <v>3</v>
      </c>
      <c r="AX139" s="63" t="s">
        <v>86</v>
      </c>
      <c r="AY139" s="63"/>
      <c r="AZ139" s="63" t="str">
        <f>IF(BE119=1,2.836, IF(BE119=2,5.31, IF(BE119=3, 5.5, IF(BE119=4, 4.3, IF(BE119=5, 2.65, IF(BE119=6, 1.51, IF(BE119=7, 0.291, IF(BE119=8, 0.291,""))))))))</f>
        <v/>
      </c>
      <c r="BA139" s="63" t="str">
        <f>IF((M$8=AX139),AW139,"")</f>
        <v/>
      </c>
      <c r="BB139" s="63" t="str">
        <f>IFERROR(SMALL(BA$137:BA$141,AW139),"")</f>
        <v/>
      </c>
      <c r="BC139" s="64">
        <v>155</v>
      </c>
      <c r="BD139" s="63" t="b">
        <f>IF(BB$137=AW139,M$10*AZ139*39994)</f>
        <v>0</v>
      </c>
      <c r="BE139" s="63" t="b">
        <f>IF(BB$137=AW139,M$11*AZ139*39994)</f>
        <v>0</v>
      </c>
      <c r="BF139" s="63">
        <f>(((BD139-BE139)/1000)*0.000001)*$M$6</f>
        <v>0</v>
      </c>
      <c r="BG139" s="62" t="s">
        <v>63</v>
      </c>
      <c r="BH139" s="62"/>
      <c r="BK139" s="62">
        <v>3</v>
      </c>
      <c r="BL139" s="63" t="s">
        <v>86</v>
      </c>
      <c r="BM139" s="63"/>
      <c r="BN139" s="63" t="str">
        <f>IF(BS119=1,2.836, IF(BS119=2,5.31, IF(BS119=3, 5.5, IF(BS119=4, 4.3, IF(BS119=5, 2.65, IF(BS119=6, 1.51, IF(BS119=7, 0.291, IF(BS119=8, 0.291,""))))))))</f>
        <v/>
      </c>
      <c r="BO139" s="63" t="str">
        <f>IF((N$8=BL139),BK139,"")</f>
        <v/>
      </c>
      <c r="BP139" s="63" t="str">
        <f>IFERROR(SMALL(BO$137:BO$141,BK139),"")</f>
        <v/>
      </c>
      <c r="BQ139" s="64">
        <v>155</v>
      </c>
      <c r="BR139" s="63" t="b">
        <f>IF(BP$137=BK139,N$10*BN139*39994)</f>
        <v>0</v>
      </c>
      <c r="BS139" s="63" t="b">
        <f>IF(BP$137=BK139,N$11*BN139*39994)</f>
        <v>0</v>
      </c>
      <c r="BT139" s="63">
        <f>(((BR139-BS139)/1000)*0.000001)*$N$6</f>
        <v>0</v>
      </c>
      <c r="BU139" s="62" t="s">
        <v>63</v>
      </c>
      <c r="BV139" s="62">
        <v>3</v>
      </c>
      <c r="BW139" s="63" t="s">
        <v>86</v>
      </c>
      <c r="BX139" s="63"/>
      <c r="BY139" s="63" t="str">
        <f>IF(CD119=1,2.836, IF(CD119=2,5.31, IF(CD119=3, 5.5, IF(CD119=4, 4.3, IF(CD119=5, 2.65, IF(CD119=6, 1.51, IF(CD119=7, 0.291, IF(CD119=8, 0.291,""))))))))</f>
        <v/>
      </c>
      <c r="BZ139" s="63" t="str">
        <f>IF((O$8=BW139),BV139,"")</f>
        <v/>
      </c>
      <c r="CA139" s="63" t="str">
        <f>IFERROR(SMALL(BZ$137:BZ$141,BV139),"")</f>
        <v/>
      </c>
      <c r="CB139" s="64">
        <v>155</v>
      </c>
      <c r="CC139" s="63" t="b">
        <f>IF(CA$137=BV139,O$10*BY139*39994)</f>
        <v>0</v>
      </c>
      <c r="CD139" s="63" t="b">
        <f>IF(CA$137=BV139,O$11*BY139*39994)</f>
        <v>0</v>
      </c>
      <c r="CE139" s="63">
        <f>(((CC139-CD139)/1000)*0.000001)*$O$6</f>
        <v>0</v>
      </c>
      <c r="CF139" s="62" t="s">
        <v>63</v>
      </c>
      <c r="CG139" s="62"/>
    </row>
    <row r="140" spans="6:85" hidden="1">
      <c r="F140" s="2">
        <v>4</v>
      </c>
      <c r="G140" s="3" t="s">
        <v>89</v>
      </c>
      <c r="H140" s="3"/>
      <c r="I140" s="3">
        <f>IF(N119=1,4.0791, IF(N119=2, 7.52, IF(N119=3, 7.91, IF(N119=4, 6.27, IF(N119=5,3.83, IF(N119=6,2.18, IF(N119=7,0.422,IF(N119=8, 0.422,""))))))))</f>
        <v>4.0791000000000004</v>
      </c>
      <c r="J140" s="3" t="str">
        <f>IF((J$8=G140),F140,"")</f>
        <v/>
      </c>
      <c r="K140" s="3" t="str">
        <f>IFERROR(SMALL(J$137:J$141,F140),"")</f>
        <v/>
      </c>
      <c r="L140" s="58">
        <v>210</v>
      </c>
      <c r="M140" s="3" t="b">
        <f>IF(K$137=F140,J$10*I140*56275)</f>
        <v>0</v>
      </c>
      <c r="N140" s="3" t="b">
        <f>IF(K$137=F140,J$11*I140*56275)</f>
        <v>0</v>
      </c>
      <c r="O140" s="3">
        <f>(((M140-N140)/1000)*0.000001)*J6</f>
        <v>0</v>
      </c>
      <c r="P140" s="2" t="s">
        <v>63</v>
      </c>
      <c r="Q140" s="2"/>
      <c r="R140" s="2"/>
      <c r="S140" s="2"/>
      <c r="U140" s="2">
        <v>4</v>
      </c>
      <c r="V140" s="3" t="s">
        <v>87</v>
      </c>
      <c r="W140" s="3"/>
      <c r="X140" s="3" t="str">
        <f>IF(AC119=1,4.0791, IF(AC119=2, 7.52, IF(AC119=3, 7.91, IF(AC119=4, 6.27, IF(AC119=5,3.83, IF(AC119=6,2.18, IF(AC119=7,0.422,IF(AC119=8, 0.422,""))))))))</f>
        <v/>
      </c>
      <c r="Y140" s="3" t="str">
        <f>IF((K$8=V140),U140,"")</f>
        <v/>
      </c>
      <c r="Z140" s="3" t="str">
        <f>IFERROR(SMALL(Y$137:Y$141,U140),"")</f>
        <v/>
      </c>
      <c r="AA140" s="58">
        <v>210</v>
      </c>
      <c r="AB140" s="3" t="b">
        <f>IF(Z$137=U140,K$10*X140*56275)</f>
        <v>0</v>
      </c>
      <c r="AC140" s="3" t="b">
        <f>IF(Z$137=U140,K$11*X140*56275)</f>
        <v>0</v>
      </c>
      <c r="AD140" s="3">
        <f>(((AB140-AC140)/1000)*0.000001)*$K$6</f>
        <v>0</v>
      </c>
      <c r="AE140" s="2" t="s">
        <v>63</v>
      </c>
      <c r="AF140" s="2"/>
      <c r="AG140" s="2"/>
      <c r="AH140" s="2"/>
      <c r="AI140" s="2">
        <v>4</v>
      </c>
      <c r="AJ140" s="3" t="s">
        <v>87</v>
      </c>
      <c r="AK140" s="3"/>
      <c r="AL140" s="3" t="str">
        <f>IF(AQ119=1,4.0791, IF(AQ119=2, 7.52, IF(AQ119=3, 7.91, IF(AQ119=4, 6.27, IF(AQ119=5,3.83, IF(AQ119=6,2.18, IF(AQ119=7,0.422,IF(AQ119=8, 0.422,""))))))))</f>
        <v/>
      </c>
      <c r="AM140" s="3" t="str">
        <f>IF((L$8=AJ140),AI140,"")</f>
        <v/>
      </c>
      <c r="AN140" s="3" t="str">
        <f>IFERROR(SMALL(AM$137:AM$141,AI140),"")</f>
        <v/>
      </c>
      <c r="AO140" s="58">
        <v>210</v>
      </c>
      <c r="AP140" s="3" t="b">
        <f>IF(AN$137=AI140,L$10*AL140*56275)</f>
        <v>0</v>
      </c>
      <c r="AQ140" s="3" t="b">
        <f>IF(AN$137=AI140,L$11*AL140*56275)</f>
        <v>0</v>
      </c>
      <c r="AR140" s="3">
        <f>(((AP140-AQ140)/1000)*0.000001)*$L$6</f>
        <v>0</v>
      </c>
      <c r="AS140" s="2" t="s">
        <v>63</v>
      </c>
      <c r="AT140" s="2"/>
      <c r="AU140" s="2"/>
      <c r="AW140" s="2">
        <v>4</v>
      </c>
      <c r="AX140" s="3" t="s">
        <v>87</v>
      </c>
      <c r="AY140" s="3"/>
      <c r="AZ140" s="3" t="str">
        <f>IF(BE119=1,4.0791, IF(BE119=2, 7.52, IF(BE119=3, 7.91, IF(BE119=4, 6.27, IF(BE119=5,3.83, IF(BE119=6,2.18, IF(BE119=7,0.422,IF(BE119=8, 0.422,""))))))))</f>
        <v/>
      </c>
      <c r="BA140" s="3" t="str">
        <f>IF((M$8=AX140),AW140,"")</f>
        <v/>
      </c>
      <c r="BB140" s="3" t="str">
        <f>IFERROR(SMALL(BA$137:BA$141,AW140),"")</f>
        <v/>
      </c>
      <c r="BC140" s="58">
        <v>210</v>
      </c>
      <c r="BD140" s="3" t="b">
        <f>IF(BB$137=AW140,M$10*AZ140*56275)</f>
        <v>0</v>
      </c>
      <c r="BE140" s="3" t="b">
        <f>IF(BB$137=AW140,M$11*AZ140*56275)</f>
        <v>0</v>
      </c>
      <c r="BF140" s="3">
        <f>(((BD140-BE140)/1000)*0.000001)*$M$6</f>
        <v>0</v>
      </c>
      <c r="BG140" s="2" t="s">
        <v>63</v>
      </c>
      <c r="BH140" s="2"/>
      <c r="BK140" s="2">
        <v>4</v>
      </c>
      <c r="BL140" s="3" t="s">
        <v>87</v>
      </c>
      <c r="BM140" s="3"/>
      <c r="BN140" s="3" t="str">
        <f>IF(BS119=1,4.0791, IF(BS119=2, 7.52, IF(BS119=3, 7.91, IF(BS119=4, 6.27, IF(BS119=5,3.83, IF(BS119=6,2.18, IF(BS119=7,0.422,IF(BS119=8, 0.422,""))))))))</f>
        <v/>
      </c>
      <c r="BO140" s="3" t="str">
        <f>IF((N$8=BL140),BK140,"")</f>
        <v/>
      </c>
      <c r="BP140" s="3" t="str">
        <f>IFERROR(SMALL(BO$137:BO$141,BK140),"")</f>
        <v/>
      </c>
      <c r="BQ140" s="58">
        <v>210</v>
      </c>
      <c r="BR140" s="3" t="b">
        <f t="shared" ref="BR140:BR141" si="44">IF(BP$137=BK140,N$10*BN140*56275)</f>
        <v>0</v>
      </c>
      <c r="BS140" s="3" t="b">
        <f t="shared" ref="BS140:BS141" si="45">IF(BP$137=BK140,N$11*BN140*56275)</f>
        <v>0</v>
      </c>
      <c r="BT140" s="3">
        <f t="shared" ref="BT140:BT141" si="46">(((BR140-BS140)/1000)*0.000001)*$N$6</f>
        <v>0</v>
      </c>
      <c r="BU140" s="2" t="s">
        <v>63</v>
      </c>
      <c r="BV140" s="2">
        <v>4</v>
      </c>
      <c r="BW140" s="3" t="s">
        <v>87</v>
      </c>
      <c r="BX140" s="3"/>
      <c r="BY140" s="3" t="str">
        <f>IF(CD119=1,4.0791, IF(CD119=2, 7.52, IF(CD119=3, 7.91, IF(CD119=4, 6.27, IF(CD119=5,3.83, IF(CD119=6,2.18, IF(CD119=7,0.422,IF(CD119=8, 0.422,""))))))))</f>
        <v/>
      </c>
      <c r="BZ140" s="3" t="str">
        <f>IF((O$8=BW140),BV140,"")</f>
        <v/>
      </c>
      <c r="CA140" s="3" t="str">
        <f>IFERROR(SMALL(BZ$137:BZ$141,BV140),"")</f>
        <v/>
      </c>
      <c r="CB140" s="58">
        <v>210</v>
      </c>
      <c r="CC140" s="3" t="b">
        <f t="shared" ref="CC140:CC141" si="47">IF(CA$137=BV140,O$10*BY140*56275)</f>
        <v>0</v>
      </c>
      <c r="CD140" s="3" t="b">
        <f t="shared" ref="CD140:CD141" si="48">IF(CA$137=BV140,O$11*BY140*56275)</f>
        <v>0</v>
      </c>
      <c r="CE140" s="3">
        <f t="shared" ref="CE140:CE141" si="49">(((CC140-CD140)/1000)*0.000001)*$O$6</f>
        <v>0</v>
      </c>
      <c r="CF140" s="2" t="s">
        <v>63</v>
      </c>
      <c r="CG140" s="2"/>
    </row>
    <row r="141" spans="6:85" hidden="1">
      <c r="F141" s="2">
        <v>5</v>
      </c>
      <c r="G141" s="3" t="s">
        <v>88</v>
      </c>
      <c r="H141" s="3"/>
      <c r="I141" s="3">
        <f>IF(N119=1, 4.8691, IF(N119=2, 9.04, IF(N119=3, 9.36, IF(N119=4, 7.43, IF(N119=5, 4.61, IF(N119=6, 2.63, IF(N119=7, 0.507, IF(N119=8, 0.507,""))))))))</f>
        <v>4.8691000000000004</v>
      </c>
      <c r="J141" s="3" t="str">
        <f>IF((J$8=G141),F141,"")</f>
        <v/>
      </c>
      <c r="K141" s="3" t="str">
        <f>IFERROR(SMALL(J$137:J$141,F141),"")</f>
        <v/>
      </c>
      <c r="L141" s="58">
        <v>251</v>
      </c>
      <c r="M141" s="3" t="b">
        <f>IF(K$137=F141,J$10*I141*56275)</f>
        <v>0</v>
      </c>
      <c r="N141" s="3" t="b">
        <f>IF(K$137=F141,J$11*I141*56275)</f>
        <v>0</v>
      </c>
      <c r="O141" s="3">
        <f>(((M141-N141)/1000)*0.000001)*J6</f>
        <v>0</v>
      </c>
      <c r="P141" s="2" t="s">
        <v>63</v>
      </c>
      <c r="Q141" s="2"/>
      <c r="R141" s="2"/>
      <c r="S141" s="2"/>
      <c r="U141" s="2">
        <v>5</v>
      </c>
      <c r="V141" s="3" t="s">
        <v>88</v>
      </c>
      <c r="W141" s="3"/>
      <c r="X141" s="3" t="str">
        <f>IF(AC119=1, 4.8691, IF(AC119=2, 9.04, IF(AC119=3, 9.36, IF(AC119=4, 7.43, IF(AC119=5, 4.61, IF(AC119=6, 2.63, IF(AC119=7, 0.507, IF(AC119=8, 0.507,""))))))))</f>
        <v/>
      </c>
      <c r="Y141" s="3" t="str">
        <f>IF((K$8=V141),U141,"")</f>
        <v/>
      </c>
      <c r="Z141" s="3" t="str">
        <f>IFERROR(SMALL(Y$137:Y$141,U141),"")</f>
        <v/>
      </c>
      <c r="AA141" s="58">
        <v>251</v>
      </c>
      <c r="AB141" s="3" t="b">
        <f>IF(Z$137=U141,K$10*X141*56275)</f>
        <v>0</v>
      </c>
      <c r="AC141" s="3" t="b">
        <f>IF(Z$137=U141,K$11*X141*56275)</f>
        <v>0</v>
      </c>
      <c r="AD141" s="3">
        <f>(((AB141-AC141)/1000)*0.000001)*$K$6</f>
        <v>0</v>
      </c>
      <c r="AE141" s="2" t="s">
        <v>63</v>
      </c>
      <c r="AF141" s="2"/>
      <c r="AG141" s="2"/>
      <c r="AH141" s="2"/>
      <c r="AI141" s="2">
        <v>5</v>
      </c>
      <c r="AJ141" s="3" t="s">
        <v>88</v>
      </c>
      <c r="AK141" s="3"/>
      <c r="AL141" s="3" t="str">
        <f>IF(AQ119=1, 4.8691, IF(AQ119=2, 9.04, IF(AQ119=3, 9.36, IF(AQ119=4, 7.43, IF(AQ119=5, 4.61, IF(AQ119=6, 2.63, IF(AQ119=7, 0.507, IF(AQ119=8, 0.507,""))))))))</f>
        <v/>
      </c>
      <c r="AM141" s="3" t="str">
        <f>IF((L$8=AJ141),AI141,"")</f>
        <v/>
      </c>
      <c r="AN141" s="3" t="str">
        <f>IFERROR(SMALL(AM$137:AM$141,AI141),"")</f>
        <v/>
      </c>
      <c r="AO141" s="58">
        <v>251</v>
      </c>
      <c r="AP141" s="3" t="b">
        <f>IF(AN$137=AI141,L$10*AL141*56275)</f>
        <v>0</v>
      </c>
      <c r="AQ141" s="3" t="b">
        <f>IF(AN$137=AI141,L$11*AL141*56275)</f>
        <v>0</v>
      </c>
      <c r="AR141" s="3">
        <f>(((AP141-AQ141)/1000)*0.000001)*$L$6</f>
        <v>0</v>
      </c>
      <c r="AS141" s="2" t="s">
        <v>63</v>
      </c>
      <c r="AT141" s="2"/>
      <c r="AU141" s="2"/>
      <c r="AW141" s="2">
        <v>5</v>
      </c>
      <c r="AX141" s="3" t="s">
        <v>88</v>
      </c>
      <c r="AY141" s="3"/>
      <c r="AZ141" s="3" t="str">
        <f>IF(BE119=1, 4.8691, IF(BE119=2, 9.04, IF(BE119=3, 9.36, IF(BE119=4, 7.43, IF(BE119=5, 4.61, IF(BE119=6, 2.63, IF(BE119=7, 0.507, IF(BE119=8, 0.507,""))))))))</f>
        <v/>
      </c>
      <c r="BA141" s="3" t="str">
        <f>IF((M$8=AX141),AW141,"")</f>
        <v/>
      </c>
      <c r="BB141" s="3" t="str">
        <f>IFERROR(SMALL(BA$137:BA$141,AW141),"")</f>
        <v/>
      </c>
      <c r="BC141" s="58">
        <v>251</v>
      </c>
      <c r="BD141" s="3" t="b">
        <f>IF(BB$137=AW141,M$10*AZ141*56275)</f>
        <v>0</v>
      </c>
      <c r="BE141" s="3" t="b">
        <f>IF(BB$137=AW141,M$11*AZ141*56275)</f>
        <v>0</v>
      </c>
      <c r="BF141" s="3">
        <f>(((BD141-BE141)/1000)*0.000001)*$M$6</f>
        <v>0</v>
      </c>
      <c r="BG141" s="2" t="s">
        <v>63</v>
      </c>
      <c r="BH141" s="2"/>
      <c r="BK141" s="2">
        <v>5</v>
      </c>
      <c r="BL141" s="3" t="s">
        <v>88</v>
      </c>
      <c r="BM141" s="3"/>
      <c r="BN141" s="3" t="str">
        <f>IF(BS119=1, 4.8691, IF(BS119=2, 9.04, IF(BS119=3, 9.36, IF(BS119=4, 7.43, IF(BS119=5, 4.61, IF(BS119=6, 2.63, IF(BS119=7, 0.507, IF(BS119=8, 0.507,""))))))))</f>
        <v/>
      </c>
      <c r="BO141" s="3" t="str">
        <f>IF((N$8=BL141),BK141,"")</f>
        <v/>
      </c>
      <c r="BP141" s="3" t="str">
        <f>IFERROR(SMALL(BO$137:BO$141,BK141),"")</f>
        <v/>
      </c>
      <c r="BQ141" s="58">
        <v>251</v>
      </c>
      <c r="BR141" s="3" t="b">
        <f t="shared" si="44"/>
        <v>0</v>
      </c>
      <c r="BS141" s="3" t="b">
        <f t="shared" si="45"/>
        <v>0</v>
      </c>
      <c r="BT141" s="3">
        <f t="shared" si="46"/>
        <v>0</v>
      </c>
      <c r="BU141" s="2" t="s">
        <v>63</v>
      </c>
      <c r="BV141" s="2">
        <v>5</v>
      </c>
      <c r="BW141" s="3" t="s">
        <v>88</v>
      </c>
      <c r="BX141" s="3"/>
      <c r="BY141" s="3" t="str">
        <f>IF(CD119=1, 4.8691, IF(CD119=2, 9.04, IF(CD119=3, 9.36, IF(CD119=4, 7.43, IF(CD119=5, 4.61, IF(CD119=6, 2.63, IF(CD119=7, 0.507, IF(CD119=8, 0.507,""))))))))</f>
        <v/>
      </c>
      <c r="BZ141" s="3" t="str">
        <f>IF((O$8=BW141),BV141,"")</f>
        <v/>
      </c>
      <c r="CA141" s="3" t="str">
        <f>IFERROR(SMALL(BZ$137:BZ$141,BV141),"")</f>
        <v/>
      </c>
      <c r="CB141" s="58">
        <v>251</v>
      </c>
      <c r="CC141" s="3" t="b">
        <f t="shared" si="47"/>
        <v>0</v>
      </c>
      <c r="CD141" s="3" t="b">
        <f t="shared" si="48"/>
        <v>0</v>
      </c>
      <c r="CE141" s="3">
        <f t="shared" si="49"/>
        <v>0</v>
      </c>
      <c r="CF141" s="2" t="s">
        <v>63</v>
      </c>
      <c r="CG141" s="2"/>
    </row>
    <row r="142" spans="6:85" hidden="1">
      <c r="F142" s="2"/>
      <c r="G142" s="2"/>
      <c r="H142" s="2"/>
      <c r="I142" s="2"/>
      <c r="J142" s="2"/>
      <c r="K142" s="2"/>
      <c r="L142" s="2"/>
      <c r="M142" s="2"/>
      <c r="N142" s="2"/>
      <c r="O142" s="2"/>
      <c r="P142" s="2"/>
      <c r="Q142" s="2"/>
      <c r="R142" s="2"/>
      <c r="S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W142" s="2"/>
      <c r="AX142" s="2"/>
      <c r="AY142" s="2"/>
      <c r="AZ142" s="2"/>
      <c r="BA142" s="2"/>
      <c r="BB142" s="2"/>
      <c r="BC142" s="2"/>
      <c r="BD142" s="2"/>
      <c r="BE142" s="2"/>
      <c r="BF142" s="2"/>
      <c r="BG142" s="2"/>
      <c r="BH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row>
    <row r="143" spans="6:85" hidden="1">
      <c r="F143" s="2"/>
      <c r="G143" s="2"/>
      <c r="H143" s="2"/>
      <c r="I143" s="2"/>
      <c r="J143" s="2"/>
      <c r="K143" s="2"/>
      <c r="L143" s="2"/>
      <c r="M143" s="2"/>
      <c r="N143" s="2"/>
      <c r="O143" s="2"/>
      <c r="P143" s="2"/>
      <c r="Q143" s="2"/>
      <c r="R143" s="2"/>
      <c r="S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W143" s="2"/>
      <c r="AX143" s="2"/>
      <c r="AY143" s="2"/>
      <c r="AZ143" s="2"/>
      <c r="BA143" s="2"/>
      <c r="BB143" s="2"/>
      <c r="BC143" s="2"/>
      <c r="BD143" s="2"/>
      <c r="BE143" s="2"/>
      <c r="BF143" s="2"/>
      <c r="BG143" s="2"/>
      <c r="BH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row>
    <row r="144" spans="6:85" hidden="1">
      <c r="F144" s="2"/>
      <c r="G144" s="2"/>
      <c r="H144" s="2"/>
      <c r="I144" s="12" t="s">
        <v>57</v>
      </c>
      <c r="J144" s="2" t="s">
        <v>58</v>
      </c>
      <c r="K144" s="2" t="s">
        <v>58</v>
      </c>
      <c r="L144" s="12" t="s">
        <v>59</v>
      </c>
      <c r="M144" s="2" t="s">
        <v>60</v>
      </c>
      <c r="N144" s="2" t="s">
        <v>61</v>
      </c>
      <c r="O144" s="2" t="s">
        <v>62</v>
      </c>
      <c r="P144" s="2"/>
      <c r="Q144" s="2"/>
      <c r="R144" s="2"/>
      <c r="S144" s="2"/>
      <c r="U144" s="2"/>
      <c r="V144" s="2"/>
      <c r="W144" s="2"/>
      <c r="X144" s="12" t="s">
        <v>57</v>
      </c>
      <c r="Y144" s="2" t="s">
        <v>58</v>
      </c>
      <c r="Z144" s="2" t="s">
        <v>58</v>
      </c>
      <c r="AA144" s="12" t="s">
        <v>59</v>
      </c>
      <c r="AB144" s="2" t="s">
        <v>60</v>
      </c>
      <c r="AC144" s="2" t="s">
        <v>61</v>
      </c>
      <c r="AD144" s="2" t="s">
        <v>62</v>
      </c>
      <c r="AE144" s="2"/>
      <c r="AF144" s="2"/>
      <c r="AG144" s="2"/>
      <c r="AH144" s="2"/>
      <c r="AI144" s="2"/>
      <c r="AJ144" s="2"/>
      <c r="AK144" s="2"/>
      <c r="AL144" s="12" t="s">
        <v>57</v>
      </c>
      <c r="AM144" s="2" t="s">
        <v>58</v>
      </c>
      <c r="AN144" s="2" t="s">
        <v>58</v>
      </c>
      <c r="AO144" s="12" t="s">
        <v>59</v>
      </c>
      <c r="AP144" s="2" t="s">
        <v>60</v>
      </c>
      <c r="AQ144" s="2" t="s">
        <v>61</v>
      </c>
      <c r="AR144" s="2" t="s">
        <v>62</v>
      </c>
      <c r="AS144" s="2"/>
      <c r="AT144" s="2"/>
      <c r="AU144" s="2"/>
      <c r="AW144" s="2"/>
      <c r="AX144" s="2"/>
      <c r="AY144" s="2"/>
      <c r="AZ144" s="12" t="s">
        <v>57</v>
      </c>
      <c r="BA144" s="2" t="s">
        <v>58</v>
      </c>
      <c r="BB144" s="2" t="s">
        <v>58</v>
      </c>
      <c r="BC144" s="12" t="s">
        <v>59</v>
      </c>
      <c r="BD144" s="2" t="s">
        <v>60</v>
      </c>
      <c r="BE144" s="2" t="s">
        <v>61</v>
      </c>
      <c r="BF144" s="2" t="s">
        <v>62</v>
      </c>
      <c r="BG144" s="2"/>
      <c r="BH144" s="2"/>
      <c r="BK144" s="2"/>
      <c r="BL144" s="2"/>
      <c r="BM144" s="2"/>
      <c r="BN144" s="12" t="s">
        <v>57</v>
      </c>
      <c r="BO144" s="2" t="s">
        <v>58</v>
      </c>
      <c r="BP144" s="2" t="s">
        <v>58</v>
      </c>
      <c r="BQ144" s="12" t="s">
        <v>59</v>
      </c>
      <c r="BR144" s="2" t="s">
        <v>60</v>
      </c>
      <c r="BS144" s="2" t="s">
        <v>61</v>
      </c>
      <c r="BT144" s="2" t="s">
        <v>62</v>
      </c>
      <c r="BU144" s="2"/>
      <c r="BV144" s="2"/>
      <c r="BW144" s="2"/>
      <c r="BX144" s="2"/>
      <c r="BY144" s="12" t="s">
        <v>57</v>
      </c>
      <c r="BZ144" s="2" t="s">
        <v>58</v>
      </c>
      <c r="CA144" s="2" t="s">
        <v>58</v>
      </c>
      <c r="CB144" s="12" t="s">
        <v>59</v>
      </c>
      <c r="CC144" s="2" t="s">
        <v>60</v>
      </c>
      <c r="CD144" s="2" t="s">
        <v>61</v>
      </c>
      <c r="CE144" s="2" t="s">
        <v>62</v>
      </c>
      <c r="CF144" s="2"/>
      <c r="CG144" s="2"/>
    </row>
    <row r="145" spans="6:85" hidden="1">
      <c r="F145" s="2">
        <v>1</v>
      </c>
      <c r="G145" s="3" t="s">
        <v>84</v>
      </c>
      <c r="H145" s="3"/>
      <c r="I145" s="3" t="str">
        <f>IF(I119=1,0.0019,"")</f>
        <v/>
      </c>
      <c r="J145" s="3" t="str">
        <f>IF((J$8=G145),F145,"")</f>
        <v/>
      </c>
      <c r="K145" s="3" t="str">
        <f>IFERROR(SMALL(J$145:J$149,F145),"")</f>
        <v/>
      </c>
      <c r="L145" s="58">
        <v>177</v>
      </c>
      <c r="M145" s="3" t="b">
        <f>IF(K$145=F145,J$10*I145*4281)</f>
        <v>0</v>
      </c>
      <c r="N145" s="3" t="b">
        <f>IF(K$145=F145,J$11*I145*4281)</f>
        <v>0</v>
      </c>
      <c r="O145" s="3">
        <f>(((M145-N145)/1000)*0.000001)*J6</f>
        <v>0</v>
      </c>
      <c r="P145" s="2" t="s">
        <v>63</v>
      </c>
      <c r="Q145" s="2"/>
      <c r="R145" s="2"/>
      <c r="S145" s="2"/>
      <c r="U145" s="2">
        <v>1</v>
      </c>
      <c r="V145" s="3" t="s">
        <v>84</v>
      </c>
      <c r="W145" s="3"/>
      <c r="X145" s="3" t="str">
        <f>IF(X119=1,0.0019,"")</f>
        <v/>
      </c>
      <c r="Y145" s="3" t="str">
        <f>IF((K$8=V145),U145,"")</f>
        <v/>
      </c>
      <c r="Z145" s="3" t="str">
        <f>IFERROR(SMALL(Y$145:Y$149,U145),"")</f>
        <v/>
      </c>
      <c r="AA145" s="58">
        <v>177</v>
      </c>
      <c r="AB145" s="3" t="b">
        <f>IF(Z$145=U145,K$10*X145*4281)</f>
        <v>0</v>
      </c>
      <c r="AC145" s="3" t="b">
        <f>IF(Z$145=U145,K$11*X145*4281)</f>
        <v>0</v>
      </c>
      <c r="AD145" s="3">
        <f>(((AB145-AC145)/1000)*0.000001)*K6</f>
        <v>0</v>
      </c>
      <c r="AE145" s="2" t="s">
        <v>63</v>
      </c>
      <c r="AF145" s="2"/>
      <c r="AG145" s="2"/>
      <c r="AH145" s="2"/>
      <c r="AI145" s="2">
        <v>1</v>
      </c>
      <c r="AJ145" s="3" t="s">
        <v>84</v>
      </c>
      <c r="AK145" s="3"/>
      <c r="AL145" s="3" t="str">
        <f>IF(AL119=1,0.0019,"")</f>
        <v/>
      </c>
      <c r="AM145" s="3" t="str">
        <f>IF((L$8=AJ145),AI145,"")</f>
        <v/>
      </c>
      <c r="AN145" s="3" t="str">
        <f>IFERROR(SMALL(AM$145:AM$149,AI145),"")</f>
        <v/>
      </c>
      <c r="AO145" s="58">
        <v>177</v>
      </c>
      <c r="AP145" s="3" t="b">
        <f>IF(AN$145=AI145,L$10*AL145*4281)</f>
        <v>0</v>
      </c>
      <c r="AQ145" s="3" t="b">
        <f>IF(AN$145=AI145,L$11*AL145*4281)</f>
        <v>0</v>
      </c>
      <c r="AR145" s="3">
        <f>(((AP145-AQ145)/1000)*0.000001)*L6</f>
        <v>0</v>
      </c>
      <c r="AS145" s="2" t="s">
        <v>63</v>
      </c>
      <c r="AT145" s="2"/>
      <c r="AU145" s="2"/>
      <c r="AW145" s="2">
        <v>1</v>
      </c>
      <c r="AX145" s="3" t="s">
        <v>84</v>
      </c>
      <c r="AY145" s="3"/>
      <c r="AZ145" s="3" t="str">
        <f>IF(AZ119=1,0.0019,"")</f>
        <v/>
      </c>
      <c r="BA145" s="3" t="str">
        <f>IF((M$8=AX145),AW145,"")</f>
        <v/>
      </c>
      <c r="BB145" s="3" t="str">
        <f>IFERROR(SMALL(BA$145:BA$149,AW145),"")</f>
        <v/>
      </c>
      <c r="BC145" s="58">
        <v>177</v>
      </c>
      <c r="BD145" s="3" t="b">
        <f>IF(BB$145=AW145,M$10*AZ145*4281)</f>
        <v>0</v>
      </c>
      <c r="BE145" s="3" t="b">
        <f>IF(BB$145=AW145,M$11*AZ145*4281)</f>
        <v>0</v>
      </c>
      <c r="BF145" s="3">
        <f>(((BD145-BE145)/1000)*0.000001)*M6</f>
        <v>0</v>
      </c>
      <c r="BG145" s="2" t="s">
        <v>63</v>
      </c>
      <c r="BH145" s="2"/>
      <c r="BK145" s="2">
        <v>1</v>
      </c>
      <c r="BL145" s="3" t="s">
        <v>84</v>
      </c>
      <c r="BM145" s="3"/>
      <c r="BN145" s="3" t="str">
        <f>IF(BN119=1,0.0019,"")</f>
        <v/>
      </c>
      <c r="BO145" s="3" t="str">
        <f>IF((N$8=BL145),BK145,"")</f>
        <v/>
      </c>
      <c r="BP145" s="3" t="str">
        <f>IFERROR(SMALL(BO$145:BO$149,BK145),"")</f>
        <v/>
      </c>
      <c r="BQ145" s="58">
        <v>177</v>
      </c>
      <c r="BR145" s="3" t="b">
        <f>IF(BP$145=BK145,N$10*BN145*4281)</f>
        <v>0</v>
      </c>
      <c r="BS145" s="3" t="b">
        <f>IF(BP$145=BK145,N$11*BN145*4281)</f>
        <v>0</v>
      </c>
      <c r="BT145" s="3">
        <f>(((BR145-BS145)/1000)*0.000001)*N6</f>
        <v>0</v>
      </c>
      <c r="BU145" s="2" t="s">
        <v>63</v>
      </c>
      <c r="BV145" s="2">
        <v>1</v>
      </c>
      <c r="BW145" s="3" t="s">
        <v>84</v>
      </c>
      <c r="BX145" s="3"/>
      <c r="BY145" s="3" t="str">
        <f>IF(BY119=1,0.0019,"")</f>
        <v/>
      </c>
      <c r="BZ145" s="3" t="str">
        <f>IF((O$8=BW145),BV145,"")</f>
        <v/>
      </c>
      <c r="CA145" s="3" t="str">
        <f>IFERROR(SMALL(BZ$145:BZ$149,BV145),"")</f>
        <v/>
      </c>
      <c r="CB145" s="58">
        <v>177</v>
      </c>
      <c r="CC145" s="3" t="b">
        <f>IF(CA$145=BV145,O$10*BY145*4281)</f>
        <v>0</v>
      </c>
      <c r="CD145" s="3" t="b">
        <f>IF(CA$145=BV145,O$11*BY145*4281)</f>
        <v>0</v>
      </c>
      <c r="CE145" s="3">
        <f>(((CC145-CD145)/1000)*0.000001)*O6</f>
        <v>0</v>
      </c>
      <c r="CF145" s="2" t="s">
        <v>63</v>
      </c>
      <c r="CG145" s="2"/>
    </row>
    <row r="146" spans="6:85" hidden="1">
      <c r="F146" s="2">
        <v>2</v>
      </c>
      <c r="G146" s="3" t="s">
        <v>85</v>
      </c>
      <c r="H146" s="3"/>
      <c r="I146" s="3">
        <f>IF(N119=1,0.0058, IF(N119=2, 0.0029, IF(N119=3, 0.0029, IF(N119=4, 0.0029, IF(N119=5, 0.0029, IF(N119=6, 0.011, IF(N119=7, 0.009, IF(N119=8, 0.009,""))))))))</f>
        <v>5.7999999999999996E-3</v>
      </c>
      <c r="J146" s="3" t="str">
        <f>IF((J$8=G146),F146,"")</f>
        <v/>
      </c>
      <c r="K146" s="3" t="str">
        <f>IFERROR(SMALL(J$145:J$149,F146),"")</f>
        <v/>
      </c>
      <c r="L146" s="58">
        <v>101</v>
      </c>
      <c r="M146" s="3" t="b">
        <f>IF(K$145=F146,J$10*I146*23713)</f>
        <v>0</v>
      </c>
      <c r="N146" s="3" t="b">
        <f>IF(K$145=F146,J$11*I146*23713)</f>
        <v>0</v>
      </c>
      <c r="O146" s="3">
        <f>(((M146-N146)/1000)*0.000001)*J6</f>
        <v>0</v>
      </c>
      <c r="P146" s="2" t="s">
        <v>63</v>
      </c>
      <c r="Q146" s="2"/>
      <c r="R146" s="2"/>
      <c r="S146" s="2"/>
      <c r="U146" s="2">
        <v>2</v>
      </c>
      <c r="V146" s="3" t="s">
        <v>85</v>
      </c>
      <c r="W146" s="3"/>
      <c r="X146" s="3" t="str">
        <f>IF(AC119=1,0.0058, IF(AC119=2, 0.0029, IF(AC119=3, 0.0029, IF(AC119=4, 0.0029, IF(AC119=5, 0.0029, IF(AC119=6, 0.011, IF(AC119=7, 0.009, IF(AC119=8, 0.009,""))))))))</f>
        <v/>
      </c>
      <c r="Y146" s="3" t="str">
        <f>IF((K$8=V146),U146,"")</f>
        <v/>
      </c>
      <c r="Z146" s="3" t="str">
        <f>IFERROR(SMALL(Y$145:Y$149,U146),"")</f>
        <v/>
      </c>
      <c r="AA146" s="58">
        <v>101</v>
      </c>
      <c r="AB146" s="3" t="b">
        <f>IF(Z$145=U146,K$10*X146*23713)</f>
        <v>0</v>
      </c>
      <c r="AC146" s="3" t="b">
        <f>IF(Z$145=U146,K$11*X146*23713)</f>
        <v>0</v>
      </c>
      <c r="AD146" s="3">
        <f>(((AB146-AC146)/1000)*0.000001)*K6</f>
        <v>0</v>
      </c>
      <c r="AE146" s="2" t="s">
        <v>63</v>
      </c>
      <c r="AF146" s="2"/>
      <c r="AG146" s="2"/>
      <c r="AH146" s="2"/>
      <c r="AI146" s="2">
        <v>2</v>
      </c>
      <c r="AJ146" s="3" t="s">
        <v>85</v>
      </c>
      <c r="AK146" s="3"/>
      <c r="AL146" s="3" t="str">
        <f>IF(AQ119=1,0.0058, IF(AQ119=2, 0.0029, IF(AQ119=3, 0.0029, IF(AQ119=4, 0.0029, IF(AQ119=5, 0.0029, IF(AQ119=6, 0.011, IF(AQ119=7, 0.009, IF(AQ119=8, 0.009,""))))))))</f>
        <v/>
      </c>
      <c r="AM146" s="3" t="str">
        <f>IF((L$8=AJ146),AI146,"")</f>
        <v/>
      </c>
      <c r="AN146" s="3" t="str">
        <f>IFERROR(SMALL(AM$145:AM$149,AI146),"")</f>
        <v/>
      </c>
      <c r="AO146" s="58">
        <v>101</v>
      </c>
      <c r="AP146" s="3" t="b">
        <f>IF(AN$145=AI146,L$10*AL146*23713)</f>
        <v>0</v>
      </c>
      <c r="AQ146" s="3" t="b">
        <f>IF(AN$145=AI146,L$11*AL146*23713)</f>
        <v>0</v>
      </c>
      <c r="AR146" s="3">
        <f>(((AP146-AQ146)/1000)*0.000001)*L6</f>
        <v>0</v>
      </c>
      <c r="AS146" s="2" t="s">
        <v>63</v>
      </c>
      <c r="AT146" s="2"/>
      <c r="AU146" s="2"/>
      <c r="AW146" s="2">
        <v>2</v>
      </c>
      <c r="AX146" s="3" t="s">
        <v>85</v>
      </c>
      <c r="AY146" s="3"/>
      <c r="AZ146" s="3" t="str">
        <f>IF(BE119=1,0.0058, IF(BE119=2, 0.0029, IF(BE119=3, 0.0029, IF(BE119=4, 0.0029, IF(BE119=5, 0.0029, IF(BE119=6, 0.011, IF(BE119=7, 0.009, IF(BE119=8, 0.009,""))))))))</f>
        <v/>
      </c>
      <c r="BA146" s="3" t="str">
        <f>IF((M$8=AX146),AW146,"")</f>
        <v/>
      </c>
      <c r="BB146" s="3" t="str">
        <f>IFERROR(SMALL(BA$145:BA$149,AW146),"")</f>
        <v/>
      </c>
      <c r="BC146" s="58">
        <v>101</v>
      </c>
      <c r="BD146" s="3" t="b">
        <f>IF(BB$145=AW146,M$10*AZ146*23713)</f>
        <v>0</v>
      </c>
      <c r="BE146" s="3" t="b">
        <f>IF(BB$145=AW146,M$11*AZ146*23713)</f>
        <v>0</v>
      </c>
      <c r="BF146" s="3">
        <f>(((BD146-BE146)/1000)*0.000001)*M6</f>
        <v>0</v>
      </c>
      <c r="BG146" s="2" t="s">
        <v>63</v>
      </c>
      <c r="BH146" s="2"/>
      <c r="BK146" s="2">
        <v>2</v>
      </c>
      <c r="BL146" s="3" t="s">
        <v>85</v>
      </c>
      <c r="BM146" s="3"/>
      <c r="BN146" s="3" t="str">
        <f>IF(BS119=1,0.0058, IF(BS119=2, 0.0029, IF(BS119=3, 0.0029, IF(BS119=4, 0.0029, IF(BS119=5, 0.0029, IF(BS119=6, 0.011, IF(BS119=7, 0.009, IF(BS119=8, 0.009,""))))))))</f>
        <v/>
      </c>
      <c r="BO146" s="3" t="str">
        <f>IF((N$8=BL146),BK146,"")</f>
        <v/>
      </c>
      <c r="BP146" s="3" t="str">
        <f>IFERROR(SMALL(BO$145:BO$149,BK146),"")</f>
        <v/>
      </c>
      <c r="BQ146" s="58">
        <v>101</v>
      </c>
      <c r="BR146" s="3" t="b">
        <f>IF(BP$145=BK146,N$10*BN146*23713)</f>
        <v>0</v>
      </c>
      <c r="BS146" s="3" t="b">
        <f>IF(BP$145=BK146,N$11*BN146*23713)</f>
        <v>0</v>
      </c>
      <c r="BT146" s="3">
        <f>(((BR146-BS146)/1000)*0.000001)*N6</f>
        <v>0</v>
      </c>
      <c r="BU146" s="2" t="s">
        <v>63</v>
      </c>
      <c r="BV146" s="2">
        <v>2</v>
      </c>
      <c r="BW146" s="3" t="s">
        <v>85</v>
      </c>
      <c r="BX146" s="3"/>
      <c r="BY146" s="3" t="str">
        <f>IF(CD119=1,0.0058, IF(CD119=2, 0.0029, IF(CD119=3, 0.0029, IF(CD119=4, 0.0029, IF(CD119=5, 0.0029, IF(CD119=6, 0.011, IF(CD119=7, 0.009, IF(CD119=8, 0.009,""))))))))</f>
        <v/>
      </c>
      <c r="BZ146" s="3" t="str">
        <f>IF((O$8=BW146),BV146,"")</f>
        <v/>
      </c>
      <c r="CA146" s="3" t="str">
        <f>IFERROR(SMALL(BZ$145:BZ$149,BV146),"")</f>
        <v/>
      </c>
      <c r="CB146" s="58">
        <v>101</v>
      </c>
      <c r="CC146" s="3" t="b">
        <f>IF(CA$145=BV146,O$10*BY146*23713)</f>
        <v>0</v>
      </c>
      <c r="CD146" s="3" t="b">
        <f>IF(CA$145=BV146,O$11*BY146*23713)</f>
        <v>0</v>
      </c>
      <c r="CE146" s="3">
        <f>(((CC146-CD146)/1000)*0.000001)*O6</f>
        <v>0</v>
      </c>
      <c r="CF146" s="2" t="s">
        <v>63</v>
      </c>
      <c r="CG146" s="2"/>
    </row>
    <row r="147" spans="6:85" s="65" customFormat="1" hidden="1">
      <c r="F147" s="62">
        <v>3</v>
      </c>
      <c r="G147" s="63" t="s">
        <v>86</v>
      </c>
      <c r="H147" s="63"/>
      <c r="I147" s="63">
        <f>IF(N119=1,0.0058,IF(N119=2, 0.0029, IF(N119=3,0.0029, IF(N119=4,0.0029, IF(N119=5, 0.0029, IF(N119=6, 0.011, IF(N119=7, 0.009, IF(N119=8, 0.009,""))))))))</f>
        <v>5.7999999999999996E-3</v>
      </c>
      <c r="J147" s="63" t="str">
        <f>IF((J$8=G147),F147,"")</f>
        <v/>
      </c>
      <c r="K147" s="63" t="str">
        <f>IFERROR(SMALL(J$145:J$149,F147),"")</f>
        <v/>
      </c>
      <c r="L147" s="64">
        <v>155</v>
      </c>
      <c r="M147" s="63" t="b">
        <f>IF(K$145=F147,J$10*I147*39994)</f>
        <v>0</v>
      </c>
      <c r="N147" s="63" t="b">
        <f>IF(K$145=F147,J$11*I147*39994)</f>
        <v>0</v>
      </c>
      <c r="O147" s="63">
        <f>(((M147-N147)/1000)*0.000001)*J6</f>
        <v>0</v>
      </c>
      <c r="P147" s="62" t="s">
        <v>63</v>
      </c>
      <c r="Q147" s="62"/>
      <c r="R147" s="62"/>
      <c r="S147" s="62"/>
      <c r="U147" s="62">
        <v>3</v>
      </c>
      <c r="V147" s="63" t="s">
        <v>86</v>
      </c>
      <c r="W147" s="63"/>
      <c r="X147" s="63" t="str">
        <f>IF(AC119=1,0.0058,IF(AC119=2, 0.0029, IF(AC119=3,0.0029, IF(AC119=4,0.0029, IF(AC119=5, 0.0029, IF(AC119=6, 0.011, IF(AC119=7, 0.009, IF(AC119=8, 0.009,""))))))))</f>
        <v/>
      </c>
      <c r="Y147" s="63" t="str">
        <f>IF((K$8=V147),U147,"")</f>
        <v/>
      </c>
      <c r="Z147" s="63" t="str">
        <f>IFERROR(SMALL(Y$145:Y$149,U147),"")</f>
        <v/>
      </c>
      <c r="AA147" s="64">
        <v>155</v>
      </c>
      <c r="AB147" s="63" t="b">
        <f>IF(Z$145=U147,K$10*X147*39994)</f>
        <v>0</v>
      </c>
      <c r="AC147" s="63" t="b">
        <f>IF(Z$145=U147,K$11*X147*39994)</f>
        <v>0</v>
      </c>
      <c r="AD147" s="63">
        <f>(((AB147-AC147)/1000)*0.000001)*$K$6</f>
        <v>0</v>
      </c>
      <c r="AE147" s="62" t="s">
        <v>63</v>
      </c>
      <c r="AF147" s="62"/>
      <c r="AG147" s="62"/>
      <c r="AH147" s="62"/>
      <c r="AI147" s="62">
        <v>3</v>
      </c>
      <c r="AJ147" s="63" t="s">
        <v>86</v>
      </c>
      <c r="AK147" s="63"/>
      <c r="AL147" s="63" t="str">
        <f>IF(AQ119=1,0.0058,IF(AQ119=2, 0.0029, IF(AQ119=3,0.0029, IF(AQ119=4,0.0029, IF(AQ119=5, 0.0029, IF(AQ119=6, 0.011, IF(AQ119=7, 0.009, IF(AQ119=8, 0.009,""))))))))</f>
        <v/>
      </c>
      <c r="AM147" s="63" t="str">
        <f>IF((L$8=AJ147),AI147,"")</f>
        <v/>
      </c>
      <c r="AN147" s="63" t="str">
        <f>IFERROR(SMALL(AM$145:AM$149,AI147),"")</f>
        <v/>
      </c>
      <c r="AO147" s="64">
        <v>155</v>
      </c>
      <c r="AP147" s="63" t="b">
        <f>IF(AN$145=AI147,L$10*AL147*39994)</f>
        <v>0</v>
      </c>
      <c r="AQ147" s="63" t="b">
        <f>IF(AN$145=AI147,L$11*AL147*39994)</f>
        <v>0</v>
      </c>
      <c r="AR147" s="63">
        <f>(((AP147-AQ147)/1000)*0.000001)*$L$6</f>
        <v>0</v>
      </c>
      <c r="AS147" s="62" t="s">
        <v>63</v>
      </c>
      <c r="AT147" s="62"/>
      <c r="AU147" s="62"/>
      <c r="AW147" s="62">
        <v>3</v>
      </c>
      <c r="AX147" s="63" t="s">
        <v>86</v>
      </c>
      <c r="AY147" s="63"/>
      <c r="AZ147" s="63" t="str">
        <f>IF(BE119=1,0.0058,IF(BE119=2, 0.0029, IF(BE119=3,0.0029, IF(BE119=4,0.0029, IF(BE119=5, 0.0029, IF(BE119=6, 0.011, IF(BE119=7, 0.009, IF(BE119=8, 0.009,""))))))))</f>
        <v/>
      </c>
      <c r="BA147" s="63" t="str">
        <f>IF((M$8=AX147),AW147,"")</f>
        <v/>
      </c>
      <c r="BB147" s="63" t="str">
        <f>IFERROR(SMALL(BA$145:BA$149,AW147),"")</f>
        <v/>
      </c>
      <c r="BC147" s="64">
        <v>155</v>
      </c>
      <c r="BD147" s="63" t="b">
        <f>IF(BB$145=AW147,M$10*AZ147*39994)</f>
        <v>0</v>
      </c>
      <c r="BE147" s="63" t="b">
        <f>IF(BB$145=AW147,M$11*AZ147*39994)</f>
        <v>0</v>
      </c>
      <c r="BF147" s="63">
        <f>(((BD147-BE147)/1000)*0.000001)*$M$6</f>
        <v>0</v>
      </c>
      <c r="BG147" s="62" t="s">
        <v>63</v>
      </c>
      <c r="BH147" s="62"/>
      <c r="BK147" s="62">
        <v>3</v>
      </c>
      <c r="BL147" s="63" t="s">
        <v>86</v>
      </c>
      <c r="BM147" s="63"/>
      <c r="BN147" s="63" t="str">
        <f>IF(BS119=1,0.0058,IF(BS119=2, 0.0029, IF(BS119=3,0.0029, IF(BS119=4,0.0029, IF(BS119=5, 0.0029, IF(BS119=6, 0.011, IF(BS119=7, 0.009, IF(BS119=8, 0.009,""))))))))</f>
        <v/>
      </c>
      <c r="BO147" s="63" t="str">
        <f>IF((N$8=BL147),BK147,"")</f>
        <v/>
      </c>
      <c r="BP147" s="63" t="str">
        <f>IFERROR(SMALL(BO$145:BO$149,BK147),"")</f>
        <v/>
      </c>
      <c r="BQ147" s="64">
        <v>155</v>
      </c>
      <c r="BR147" s="63" t="b">
        <f>IF(BP$145=BK147,N$10*BN147*39994)</f>
        <v>0</v>
      </c>
      <c r="BS147" s="63" t="b">
        <f>IF(BP$145=BK147,N$11*BN147*39994)</f>
        <v>0</v>
      </c>
      <c r="BT147" s="63">
        <f>(((BR147-BS147)/1000)*0.000001)*$N$6</f>
        <v>0</v>
      </c>
      <c r="BU147" s="62" t="s">
        <v>63</v>
      </c>
      <c r="BV147" s="62">
        <v>3</v>
      </c>
      <c r="BW147" s="63" t="s">
        <v>86</v>
      </c>
      <c r="BX147" s="63"/>
      <c r="BY147" s="63" t="str">
        <f>IF(CD119=1,0.0058,IF(CD119=2, 0.0029, IF(CD119=3,0.0029, IF(CD119=4,0.0029, IF(CD119=5, 0.0029, IF(CD119=6, 0.011, IF(CD119=7, 0.009, IF(CD119=8, 0.009,""))))))))</f>
        <v/>
      </c>
      <c r="BZ147" s="63" t="str">
        <f>IF((O$8=BW147),BV147,"")</f>
        <v/>
      </c>
      <c r="CA147" s="63" t="str">
        <f>IFERROR(SMALL(BZ$145:BZ$149,BV147),"")</f>
        <v/>
      </c>
      <c r="CB147" s="64">
        <v>155</v>
      </c>
      <c r="CC147" s="63" t="b">
        <f>IF(CA$145=BV147,O$10*BY147*39994)</f>
        <v>0</v>
      </c>
      <c r="CD147" s="63" t="b">
        <f>IF(CA$145=BV147,O$11*BY147*39994)</f>
        <v>0</v>
      </c>
      <c r="CE147" s="63">
        <f>(((CC147-CD147)/1000)*0.000001)*$O$6</f>
        <v>0</v>
      </c>
      <c r="CF147" s="62" t="s">
        <v>63</v>
      </c>
      <c r="CG147" s="62"/>
    </row>
    <row r="148" spans="6:85" hidden="1">
      <c r="F148" s="2">
        <v>4</v>
      </c>
      <c r="G148" s="3" t="s">
        <v>87</v>
      </c>
      <c r="H148" s="3"/>
      <c r="I148" s="3">
        <f>IF(N119=1,0.0058, IF(N119=2, 0.0029, IF(N119=3, 0.0029, IF(N119=4,0.0029, IF(N119=5, 0.0029, IF(N119=6, 0.011, IF(N119=7, 0.009, IF(N119=8, 0.009,""))))))))</f>
        <v>5.7999999999999996E-3</v>
      </c>
      <c r="J148" s="3" t="str">
        <f>IF((J$8=G148),F148,"")</f>
        <v/>
      </c>
      <c r="K148" s="3" t="str">
        <f>IFERROR(SMALL(J$145:J$149,F148),"")</f>
        <v/>
      </c>
      <c r="L148" s="58">
        <v>210</v>
      </c>
      <c r="M148" s="3" t="b">
        <f>IF(K$145=F148,J$10*I148*56275)</f>
        <v>0</v>
      </c>
      <c r="N148" s="3" t="b">
        <f>IF(K$145=F148,J$11*I148*56275)</f>
        <v>0</v>
      </c>
      <c r="O148" s="3">
        <f>(((M148-N148)/1000)*0.000001)*J6</f>
        <v>0</v>
      </c>
      <c r="P148" s="2" t="s">
        <v>63</v>
      </c>
      <c r="Q148" s="2"/>
      <c r="R148" s="2"/>
      <c r="S148" s="2"/>
      <c r="U148" s="2">
        <v>4</v>
      </c>
      <c r="V148" s="3" t="s">
        <v>87</v>
      </c>
      <c r="W148" s="3"/>
      <c r="X148" s="3" t="str">
        <f>IF(AC119=1,0.0058, IF(AC119=2, 0.0029, IF(AC119=3, 0.0029, IF(AC119=4,0.0029, IF(AC119=5, 0.0029, IF(AC119=6, 0.011, IF(AC119=7, 0.009, IF(AC119=8, 0.009,""))))))))</f>
        <v/>
      </c>
      <c r="Y148" s="3" t="str">
        <f>IF((K$8=V148),U148,"")</f>
        <v/>
      </c>
      <c r="Z148" s="3" t="str">
        <f>IFERROR(SMALL(Y$145:Y$149,U148),"")</f>
        <v/>
      </c>
      <c r="AA148" s="58">
        <v>210</v>
      </c>
      <c r="AB148" s="3" t="b">
        <f t="shared" ref="AB148:AB149" si="50">IF(Z$145=U148,K$10*X148*56275)</f>
        <v>0</v>
      </c>
      <c r="AC148" s="3" t="b">
        <f>IF(Z$145=U148,K$11*X148*56275)</f>
        <v>0</v>
      </c>
      <c r="AD148" s="3">
        <f>(((AB148-AC148)/1000)*0.000001)*$K$6</f>
        <v>0</v>
      </c>
      <c r="AE148" s="2" t="s">
        <v>63</v>
      </c>
      <c r="AF148" s="2"/>
      <c r="AG148" s="2"/>
      <c r="AH148" s="2"/>
      <c r="AI148" s="2">
        <v>4</v>
      </c>
      <c r="AJ148" s="3" t="s">
        <v>87</v>
      </c>
      <c r="AK148" s="3"/>
      <c r="AL148" s="3" t="str">
        <f>IF(AQ119=1,0.0058, IF(AQ119=2, 0.0029, IF(AQ119=3, 0.0029, IF(AQ119=4,0.0029, IF(AQ119=5, 0.0029, IF(AQ119=6, 0.011, IF(AQ119=7, 0.009, IF(AQ119=8, 0.009,""))))))))</f>
        <v/>
      </c>
      <c r="AM148" s="3" t="str">
        <f>IF((L$8=AJ148),AI148,"")</f>
        <v/>
      </c>
      <c r="AN148" s="3" t="str">
        <f>IFERROR(SMALL(AM$145:AM$149,AI148),"")</f>
        <v/>
      </c>
      <c r="AO148" s="58">
        <v>210</v>
      </c>
      <c r="AP148" s="3" t="b">
        <f t="shared" ref="AP148" si="51">IF(AN$145=AI148,L$10*AL148*56275)</f>
        <v>0</v>
      </c>
      <c r="AQ148" s="3" t="b">
        <f>IF(AN$145=AI148,L$11*AL148*56275)</f>
        <v>0</v>
      </c>
      <c r="AR148" s="3">
        <f>(((AP148-AQ148)/1000)*0.000001)*$L$6</f>
        <v>0</v>
      </c>
      <c r="AS148" s="2" t="s">
        <v>63</v>
      </c>
      <c r="AT148" s="2"/>
      <c r="AU148" s="2"/>
      <c r="AW148" s="2">
        <v>4</v>
      </c>
      <c r="AX148" s="3" t="s">
        <v>87</v>
      </c>
      <c r="AY148" s="3"/>
      <c r="AZ148" s="3" t="str">
        <f>IF(BE119=1,0.0058, IF(BE119=2, 0.0029, IF(BE119=3, 0.0029, IF(BE119=4,0.0029, IF(BE119=5, 0.0029, IF(BE119=6, 0.011, IF(BE119=7, 0.009, IF(BE119=8, 0.009,""))))))))</f>
        <v/>
      </c>
      <c r="BA148" s="3" t="str">
        <f>IF((M$8=AX148),AW148,"")</f>
        <v/>
      </c>
      <c r="BB148" s="3" t="str">
        <f>IFERROR(SMALL(BA$145:BA$149,AW148),"")</f>
        <v/>
      </c>
      <c r="BC148" s="58">
        <v>210</v>
      </c>
      <c r="BD148" s="3" t="b">
        <f>IF(BB$145=AW148,M$10*AZ148*56275)</f>
        <v>0</v>
      </c>
      <c r="BE148" s="3" t="b">
        <f>IF(BB$145=AW148,M$11*AZ148*56275)</f>
        <v>0</v>
      </c>
      <c r="BF148" s="3">
        <f t="shared" ref="BF148:BF149" si="52">(((BD148-BE148)/1000)*0.000001)*$M$6</f>
        <v>0</v>
      </c>
      <c r="BG148" s="2" t="s">
        <v>63</v>
      </c>
      <c r="BH148" s="2"/>
      <c r="BK148" s="2">
        <v>4</v>
      </c>
      <c r="BL148" s="3" t="s">
        <v>87</v>
      </c>
      <c r="BM148" s="3"/>
      <c r="BN148" s="3" t="str">
        <f>IF(BS119=1,0.0058, IF(BS119=2, 0.0029, IF(BS119=3, 0.0029, IF(BS119=4,0.0029, IF(BS119=5, 0.0029, IF(BS119=6, 0.011, IF(BS119=7, 0.009, IF(BS119=8, 0.009,""))))))))</f>
        <v/>
      </c>
      <c r="BO148" s="3" t="str">
        <f>IF((N$8=BL148),BK148,"")</f>
        <v/>
      </c>
      <c r="BP148" s="3" t="str">
        <f>IFERROR(SMALL(BO$145:BO$149,BK148),"")</f>
        <v/>
      </c>
      <c r="BQ148" s="58">
        <v>210</v>
      </c>
      <c r="BR148" s="3" t="b">
        <f t="shared" ref="BR148:BR149" si="53">IF(BP$145=BK148,N$10*BN148*56275)</f>
        <v>0</v>
      </c>
      <c r="BS148" s="3" t="b">
        <f t="shared" ref="BS148:BS149" si="54">IF(BP$145=BK148,N$11*BN148*56275)</f>
        <v>0</v>
      </c>
      <c r="BT148" s="3">
        <f t="shared" ref="BT148:BT149" si="55">(((BR148-BS148)/1000)*0.000001)*$N$6</f>
        <v>0</v>
      </c>
      <c r="BU148" s="2" t="s">
        <v>63</v>
      </c>
      <c r="BV148" s="2">
        <v>4</v>
      </c>
      <c r="BW148" s="3" t="s">
        <v>87</v>
      </c>
      <c r="BX148" s="3"/>
      <c r="BY148" s="3" t="str">
        <f>IF(CD119=1,0.0058, IF(CD119=2, 0.0029, IF(CD119=3, 0.0029, IF(CD119=4,0.0029, IF(CD119=5, 0.0029, IF(CD119=6, 0.011, IF(CD119=7, 0.009, IF(CD119=8, 0.009,""))))))))</f>
        <v/>
      </c>
      <c r="BZ148" s="3" t="str">
        <f>IF((O$8=BW148),BV148,"")</f>
        <v/>
      </c>
      <c r="CA148" s="3" t="str">
        <f>IFERROR(SMALL(BZ$145:BZ$149,BV148),"")</f>
        <v/>
      </c>
      <c r="CB148" s="58">
        <v>210</v>
      </c>
      <c r="CC148" s="3" t="b">
        <f t="shared" ref="CC148:CC149" si="56">IF(CA$145=BV148,O$10*BY148*56275)</f>
        <v>0</v>
      </c>
      <c r="CD148" s="3" t="b">
        <f t="shared" ref="CD148:CD149" si="57">IF(CA$145=BV148,O$11*BY148*56275)</f>
        <v>0</v>
      </c>
      <c r="CE148" s="3">
        <f t="shared" ref="CE148:CE149" si="58">(((CC148-CD148)/1000)*0.000001)*$O$6</f>
        <v>0</v>
      </c>
      <c r="CF148" s="2" t="s">
        <v>63</v>
      </c>
      <c r="CG148" s="2"/>
    </row>
    <row r="149" spans="6:85" hidden="1">
      <c r="F149" s="2">
        <v>5</v>
      </c>
      <c r="G149" s="3" t="s">
        <v>88</v>
      </c>
      <c r="H149" s="3"/>
      <c r="I149" s="3">
        <f>IF(N119=1,0.0058, IF(N119=2, 0.0029, IF(N119=3, 0.0029, IF(N119=4, 0.0029, IF(N119=5, 0.0029, IF(N119=6, 0.011, IF(N119=7, 0.009, IF(N119=8, 0.009,""))))))))</f>
        <v>5.7999999999999996E-3</v>
      </c>
      <c r="J149" s="3" t="str">
        <f>IF((J$8=G149),F149,"")</f>
        <v/>
      </c>
      <c r="K149" s="3" t="str">
        <f>IFERROR(SMALL(J$145:J$149,F149),"")</f>
        <v/>
      </c>
      <c r="L149" s="58">
        <v>251</v>
      </c>
      <c r="M149" s="3" t="b">
        <f>IF(K$145=F149,J$10*I149*56275)</f>
        <v>0</v>
      </c>
      <c r="N149" s="3" t="b">
        <f>IF(K$145=F149,J$11*I149*56275)</f>
        <v>0</v>
      </c>
      <c r="O149" s="3">
        <f>(((M149-N149)/1000)*0.000001)*J6</f>
        <v>0</v>
      </c>
      <c r="P149" s="2" t="s">
        <v>63</v>
      </c>
      <c r="Q149" s="2"/>
      <c r="R149" s="2"/>
      <c r="S149" s="2"/>
      <c r="U149" s="2">
        <v>5</v>
      </c>
      <c r="V149" s="3" t="s">
        <v>88</v>
      </c>
      <c r="W149" s="3"/>
      <c r="X149" s="3" t="str">
        <f>IF(AC119=1,0.0058, IF(AC119=2, 0.0029, IF(AC119=3, 0.0029, IF(AC119=4, 0.0029, IF(AC119=5, 0.0029, IF(AC119=6, 0.011, IF(AC119=7, 0.009, IF(AC119=8, 0.009,""))))))))</f>
        <v/>
      </c>
      <c r="Y149" s="3" t="str">
        <f>IF((K$8=V149),U149,"")</f>
        <v/>
      </c>
      <c r="Z149" s="3" t="str">
        <f>IFERROR(SMALL(Y$145:Y$149,U149),"")</f>
        <v/>
      </c>
      <c r="AA149" s="58">
        <v>251</v>
      </c>
      <c r="AB149" s="3" t="b">
        <f t="shared" si="50"/>
        <v>0</v>
      </c>
      <c r="AC149" s="3" t="b">
        <f>IF(Z$145=U149,K$11*X149*56275)</f>
        <v>0</v>
      </c>
      <c r="AD149" s="3">
        <f t="shared" ref="AD149" si="59">(((AB149-AC149)/1000)*0.000001)*$K$6</f>
        <v>0</v>
      </c>
      <c r="AE149" s="2" t="s">
        <v>63</v>
      </c>
      <c r="AF149" s="2"/>
      <c r="AG149" s="2"/>
      <c r="AH149" s="2"/>
      <c r="AI149" s="2">
        <v>5</v>
      </c>
      <c r="AJ149" s="3" t="s">
        <v>88</v>
      </c>
      <c r="AK149" s="3"/>
      <c r="AL149" s="3" t="str">
        <f>IF(AQ119=1,0.0058, IF(AQ119=2, 0.0029, IF(AQ119=3, 0.0029, IF(AQ119=4, 0.0029, IF(AQ119=5, 0.0029, IF(AQ119=6, 0.011, IF(AQ119=7, 0.009, IF(AQ119=8, 0.009,""))))))))</f>
        <v/>
      </c>
      <c r="AM149" s="3" t="str">
        <f>IF((L$8=AJ149),AI149,"")</f>
        <v/>
      </c>
      <c r="AN149" s="3" t="str">
        <f>IFERROR(SMALL(AM$145:AM$149,AI149),"")</f>
        <v/>
      </c>
      <c r="AO149" s="58">
        <v>251</v>
      </c>
      <c r="AP149" s="3" t="b">
        <f>IF(AN$145=AI149,L$10*AL149*56275)</f>
        <v>0</v>
      </c>
      <c r="AQ149" s="3" t="b">
        <f>IF(AN$145=AI149,L$11*AL149*56275)</f>
        <v>0</v>
      </c>
      <c r="AR149" s="3">
        <f>(((AP149-AQ149)/1000)*0.000001)*$L$6</f>
        <v>0</v>
      </c>
      <c r="AS149" s="2" t="s">
        <v>63</v>
      </c>
      <c r="AT149" s="2"/>
      <c r="AU149" s="2"/>
      <c r="AW149" s="2">
        <v>5</v>
      </c>
      <c r="AX149" s="3" t="s">
        <v>88</v>
      </c>
      <c r="AY149" s="3"/>
      <c r="AZ149" s="3" t="str">
        <f>IF(BE119=1,0.0058, IF(BE119=2, 0.0029, IF(BE119=3, 0.0029, IF(BE119=4, 0.0029, IF(BE119=5, 0.0029, IF(BE119=6, 0.011, IF(BE119=7, 0.009, IF(BE119=8, 0.009,""))))))))</f>
        <v/>
      </c>
      <c r="BA149" s="3" t="str">
        <f>IF((M$8=AX149),AW149,"")</f>
        <v/>
      </c>
      <c r="BB149" s="3" t="str">
        <f>IFERROR(SMALL(BA$145:BA$149,AW149),"")</f>
        <v/>
      </c>
      <c r="BC149" s="58">
        <v>251</v>
      </c>
      <c r="BD149" s="3" t="b">
        <f>IF(BB$145=AW149,M$10*AZ149*56275)</f>
        <v>0</v>
      </c>
      <c r="BE149" s="3" t="b">
        <f>IF(BB$145=AW149,M$11*AZ149*56275)</f>
        <v>0</v>
      </c>
      <c r="BF149" s="3">
        <f t="shared" si="52"/>
        <v>0</v>
      </c>
      <c r="BG149" s="2" t="s">
        <v>63</v>
      </c>
      <c r="BH149" s="2"/>
      <c r="BK149" s="2">
        <v>5</v>
      </c>
      <c r="BL149" s="3" t="s">
        <v>88</v>
      </c>
      <c r="BM149" s="3"/>
      <c r="BN149" s="3" t="str">
        <f>IF(BS119=1,0.0058, IF(BS119=2, 0.0029, IF(BS119=3, 0.0029, IF(BS119=4, 0.0029, IF(BS119=5, 0.0029, IF(BS119=6, 0.011, IF(BS119=7, 0.009, IF(BS119=8, 0.009,""))))))))</f>
        <v/>
      </c>
      <c r="BO149" s="3" t="str">
        <f>IF((N$8=BL149),BK149,"")</f>
        <v/>
      </c>
      <c r="BP149" s="3" t="str">
        <f>IFERROR(SMALL(BO$145:BO$149,BK149),"")</f>
        <v/>
      </c>
      <c r="BQ149" s="58">
        <v>251</v>
      </c>
      <c r="BR149" s="3" t="b">
        <f t="shared" si="53"/>
        <v>0</v>
      </c>
      <c r="BS149" s="3" t="b">
        <f t="shared" si="54"/>
        <v>0</v>
      </c>
      <c r="BT149" s="3">
        <f t="shared" si="55"/>
        <v>0</v>
      </c>
      <c r="BU149" s="2" t="s">
        <v>63</v>
      </c>
      <c r="BV149" s="2">
        <v>5</v>
      </c>
      <c r="BW149" s="3" t="s">
        <v>88</v>
      </c>
      <c r="BX149" s="3"/>
      <c r="BY149" s="3" t="str">
        <f>IF(CD119=1,0.0058, IF(CD119=2, 0.0029, IF(CD119=3, 0.0029, IF(CD119=4, 0.0029, IF(CD119=5, 0.0029, IF(CD119=6, 0.011, IF(CD119=7, 0.009, IF(CD119=8, 0.009,""))))))))</f>
        <v/>
      </c>
      <c r="BZ149" s="3" t="str">
        <f>IF((O$8=BW149),BV149,"")</f>
        <v/>
      </c>
      <c r="CA149" s="3" t="str">
        <f>IFERROR(SMALL(BZ$145:BZ$149,BV149),"")</f>
        <v/>
      </c>
      <c r="CB149" s="58">
        <v>251</v>
      </c>
      <c r="CC149" s="3" t="b">
        <f t="shared" si="56"/>
        <v>0</v>
      </c>
      <c r="CD149" s="3" t="b">
        <f t="shared" si="57"/>
        <v>0</v>
      </c>
      <c r="CE149" s="3">
        <f t="shared" si="58"/>
        <v>0</v>
      </c>
      <c r="CF149" s="2" t="s">
        <v>63</v>
      </c>
      <c r="CG149" s="2"/>
    </row>
    <row r="150" spans="6:85" hidden="1">
      <c r="F150" s="2"/>
      <c r="G150" s="2"/>
      <c r="H150" s="2"/>
      <c r="I150" s="2"/>
      <c r="J150" s="2"/>
      <c r="K150" s="2"/>
      <c r="L150" s="2"/>
      <c r="M150" s="2"/>
      <c r="N150" s="2"/>
      <c r="O150" s="2"/>
      <c r="P150" s="2"/>
      <c r="Q150" s="2"/>
      <c r="R150" s="2"/>
      <c r="S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W150" s="2"/>
      <c r="AX150" s="2"/>
      <c r="AY150" s="2"/>
      <c r="AZ150" s="2"/>
      <c r="BA150" s="2"/>
      <c r="BB150" s="2"/>
      <c r="BC150" s="2"/>
      <c r="BD150" s="2"/>
      <c r="BE150" s="2"/>
      <c r="BF150" s="2"/>
      <c r="BG150" s="2"/>
      <c r="BH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row>
    <row r="151" spans="6:85" hidden="1">
      <c r="F151" s="2"/>
      <c r="G151" s="2"/>
      <c r="H151" s="2"/>
      <c r="I151" s="12" t="s">
        <v>71</v>
      </c>
      <c r="J151" s="2" t="s">
        <v>58</v>
      </c>
      <c r="K151" s="2" t="s">
        <v>58</v>
      </c>
      <c r="L151" s="12" t="s">
        <v>59</v>
      </c>
      <c r="M151" s="2" t="s">
        <v>60</v>
      </c>
      <c r="N151" s="2" t="s">
        <v>61</v>
      </c>
      <c r="O151" s="2" t="s">
        <v>62</v>
      </c>
      <c r="P151" s="2"/>
      <c r="Q151" s="2"/>
      <c r="R151" s="2"/>
      <c r="S151" s="2"/>
      <c r="U151" s="2"/>
      <c r="V151" s="2"/>
      <c r="W151" s="2"/>
      <c r="X151" s="12" t="s">
        <v>71</v>
      </c>
      <c r="Y151" s="2" t="s">
        <v>58</v>
      </c>
      <c r="Z151" s="2" t="s">
        <v>58</v>
      </c>
      <c r="AA151" s="12" t="s">
        <v>59</v>
      </c>
      <c r="AB151" s="2" t="s">
        <v>60</v>
      </c>
      <c r="AC151" s="2" t="s">
        <v>61</v>
      </c>
      <c r="AD151" s="2" t="s">
        <v>62</v>
      </c>
      <c r="AE151" s="2"/>
      <c r="AF151" s="2"/>
      <c r="AG151" s="2"/>
      <c r="AH151" s="2"/>
      <c r="AI151" s="2"/>
      <c r="AJ151" s="2"/>
      <c r="AK151" s="2"/>
      <c r="AL151" s="12" t="s">
        <v>71</v>
      </c>
      <c r="AM151" s="2" t="s">
        <v>58</v>
      </c>
      <c r="AN151" s="2" t="s">
        <v>58</v>
      </c>
      <c r="AO151" s="12" t="s">
        <v>59</v>
      </c>
      <c r="AP151" s="2" t="s">
        <v>60</v>
      </c>
      <c r="AQ151" s="2" t="s">
        <v>61</v>
      </c>
      <c r="AR151" s="2" t="s">
        <v>62</v>
      </c>
      <c r="AS151" s="2"/>
      <c r="AT151" s="2"/>
      <c r="AU151" s="2"/>
      <c r="AW151" s="2"/>
      <c r="AX151" s="2"/>
      <c r="AY151" s="2"/>
      <c r="AZ151" s="12" t="s">
        <v>71</v>
      </c>
      <c r="BA151" s="2" t="s">
        <v>58</v>
      </c>
      <c r="BB151" s="2" t="s">
        <v>58</v>
      </c>
      <c r="BC151" s="12" t="s">
        <v>59</v>
      </c>
      <c r="BD151" s="2" t="s">
        <v>60</v>
      </c>
      <c r="BE151" s="2" t="s">
        <v>61</v>
      </c>
      <c r="BF151" s="2" t="s">
        <v>62</v>
      </c>
      <c r="BG151" s="2"/>
      <c r="BH151" s="2"/>
      <c r="BK151" s="2"/>
      <c r="BL151" s="2"/>
      <c r="BM151" s="2"/>
      <c r="BN151" s="12" t="s">
        <v>71</v>
      </c>
      <c r="BO151" s="2" t="s">
        <v>58</v>
      </c>
      <c r="BP151" s="2" t="s">
        <v>58</v>
      </c>
      <c r="BQ151" s="12" t="s">
        <v>59</v>
      </c>
      <c r="BR151" s="2" t="s">
        <v>60</v>
      </c>
      <c r="BS151" s="2" t="s">
        <v>61</v>
      </c>
      <c r="BT151" s="2" t="s">
        <v>62</v>
      </c>
      <c r="BU151" s="2"/>
      <c r="BV151" s="2"/>
      <c r="BW151" s="2"/>
      <c r="BX151" s="2"/>
      <c r="BY151" s="12" t="s">
        <v>71</v>
      </c>
      <c r="BZ151" s="2" t="s">
        <v>58</v>
      </c>
      <c r="CA151" s="2" t="s">
        <v>58</v>
      </c>
      <c r="CB151" s="12" t="s">
        <v>59</v>
      </c>
      <c r="CC151" s="2" t="s">
        <v>60</v>
      </c>
      <c r="CD151" s="2" t="s">
        <v>61</v>
      </c>
      <c r="CE151" s="2" t="s">
        <v>62</v>
      </c>
      <c r="CF151" s="2"/>
      <c r="CG151" s="2"/>
    </row>
    <row r="152" spans="6:85" hidden="1">
      <c r="F152" s="2">
        <v>1</v>
      </c>
      <c r="G152" s="3" t="s">
        <v>84</v>
      </c>
      <c r="H152" s="3"/>
      <c r="I152" s="3" t="str">
        <f>IF(I119=1,0,"")</f>
        <v/>
      </c>
      <c r="J152" s="3" t="str">
        <f>IF((J$8=G152),F152,"")</f>
        <v/>
      </c>
      <c r="K152" s="3" t="str">
        <f>IFERROR(SMALL(J$152:J$156,F152),"")</f>
        <v/>
      </c>
      <c r="L152" s="58">
        <v>177</v>
      </c>
      <c r="M152" s="3" t="b">
        <f>IF(K$152=F152,J$10*I152*4281)</f>
        <v>0</v>
      </c>
      <c r="N152" s="3" t="b">
        <f>IF(K$152=F152,J$11*I152*4281)</f>
        <v>0</v>
      </c>
      <c r="O152" s="3">
        <f>(((M152-N152)/1000)*0.000001)*J6</f>
        <v>0</v>
      </c>
      <c r="P152" s="2" t="s">
        <v>63</v>
      </c>
      <c r="Q152" s="2"/>
      <c r="R152" s="2"/>
      <c r="S152" s="2"/>
      <c r="U152" s="2">
        <v>1</v>
      </c>
      <c r="V152" s="3" t="s">
        <v>84</v>
      </c>
      <c r="W152" s="3"/>
      <c r="X152" s="3" t="str">
        <f>IF(X119=1,0,"")</f>
        <v/>
      </c>
      <c r="Y152" s="3" t="str">
        <f>IF((K$8=V152),U152,"")</f>
        <v/>
      </c>
      <c r="Z152" s="3" t="str">
        <f>IFERROR(SMALL(Y$152:Y$156,U152),"")</f>
        <v/>
      </c>
      <c r="AA152" s="58">
        <v>177</v>
      </c>
      <c r="AB152" s="3" t="b">
        <f>IF(Z$152=U152,K$10*X152*4281)</f>
        <v>0</v>
      </c>
      <c r="AC152" s="3" t="b">
        <f>IF(Z$152=U152,K$11*X152*4281)</f>
        <v>0</v>
      </c>
      <c r="AD152" s="3">
        <f>(((AB152-AC152)/1000)*0.000001)*K6</f>
        <v>0</v>
      </c>
      <c r="AE152" s="2" t="s">
        <v>63</v>
      </c>
      <c r="AF152" s="2"/>
      <c r="AG152" s="2"/>
      <c r="AH152" s="2"/>
      <c r="AI152" s="2">
        <v>1</v>
      </c>
      <c r="AJ152" s="3" t="s">
        <v>84</v>
      </c>
      <c r="AK152" s="3"/>
      <c r="AL152" s="3" t="str">
        <f>IF(AL119=1,0,"")</f>
        <v/>
      </c>
      <c r="AM152" s="3" t="str">
        <f>IF((L$8=AJ152),AI152,"")</f>
        <v/>
      </c>
      <c r="AN152" s="3" t="str">
        <f>IFERROR(SMALL(AM$152:AM$156,AI152),"")</f>
        <v/>
      </c>
      <c r="AO152" s="58">
        <v>177</v>
      </c>
      <c r="AP152" s="3" t="b">
        <f>IF(AN$152=AI152,L$10*AL152*4281)</f>
        <v>0</v>
      </c>
      <c r="AQ152" s="3" t="b">
        <f>IF(AN$152=AI152,L$11*AL152*4281)</f>
        <v>0</v>
      </c>
      <c r="AR152" s="3">
        <f>(((AP152-AQ152)/1000)*0.000001)*L6</f>
        <v>0</v>
      </c>
      <c r="AS152" s="2" t="s">
        <v>63</v>
      </c>
      <c r="AT152" s="2"/>
      <c r="AU152" s="2"/>
      <c r="AW152" s="2">
        <v>1</v>
      </c>
      <c r="AX152" s="3" t="s">
        <v>84</v>
      </c>
      <c r="AY152" s="3"/>
      <c r="AZ152" s="3" t="str">
        <f>IF(AZ119=1,0,"")</f>
        <v/>
      </c>
      <c r="BA152" s="3" t="str">
        <f>IF((M$8=AX152),AW152,"")</f>
        <v/>
      </c>
      <c r="BB152" s="3" t="str">
        <f>IFERROR(SMALL(BA$152:BA$156,AW152),"")</f>
        <v/>
      </c>
      <c r="BC152" s="58">
        <v>177</v>
      </c>
      <c r="BD152" s="3" t="b">
        <f>IF(BB$152=AW152,M$10*AZ152*4281)</f>
        <v>0</v>
      </c>
      <c r="BE152" s="3" t="b">
        <f>IF(BB$152=AW152,M$11*AZ152*4281)</f>
        <v>0</v>
      </c>
      <c r="BF152" s="3">
        <f>(((BD152-BE152)/1000)*0.000001)*M6</f>
        <v>0</v>
      </c>
      <c r="BG152" s="2" t="s">
        <v>63</v>
      </c>
      <c r="BH152" s="2"/>
      <c r="BK152" s="2">
        <v>1</v>
      </c>
      <c r="BL152" s="3" t="s">
        <v>84</v>
      </c>
      <c r="BM152" s="3"/>
      <c r="BN152" s="3" t="str">
        <f>IF(BN119=1,0,"")</f>
        <v/>
      </c>
      <c r="BO152" s="3" t="str">
        <f>IF((N$8=BL152),BK152,"")</f>
        <v/>
      </c>
      <c r="BP152" s="3" t="str">
        <f>IFERROR(SMALL(BO$152:BO$156,BK152),"")</f>
        <v/>
      </c>
      <c r="BQ152" s="58">
        <v>177</v>
      </c>
      <c r="BR152" s="3" t="b">
        <f>IF(BP$152=BK152,N$10*BN152*4281)</f>
        <v>0</v>
      </c>
      <c r="BS152" s="3" t="b">
        <f>IF(BP$152=BK152,N$11*BN152*4281)</f>
        <v>0</v>
      </c>
      <c r="BT152" s="3">
        <f>(((BR152-BS152)/1000)*0.000001)*N6</f>
        <v>0</v>
      </c>
      <c r="BU152" s="2" t="s">
        <v>63</v>
      </c>
      <c r="BV152" s="2">
        <v>1</v>
      </c>
      <c r="BW152" s="3" t="s">
        <v>84</v>
      </c>
      <c r="BX152" s="3"/>
      <c r="BY152" s="3" t="str">
        <f>IF(BY119=1,0,"")</f>
        <v/>
      </c>
      <c r="BZ152" s="3" t="str">
        <f>IF((O$8=BW152),BV152,"")</f>
        <v/>
      </c>
      <c r="CA152" s="3" t="str">
        <f>IFERROR(SMALL(BZ$152:BZ$156,BV152),"")</f>
        <v/>
      </c>
      <c r="CB152" s="58">
        <v>177</v>
      </c>
      <c r="CC152" s="3" t="b">
        <f>IF(CA$152=BV152,O$10*(CB152*BY152))</f>
        <v>0</v>
      </c>
      <c r="CD152" s="3" t="b">
        <f>IF(CA$152=BV152,O$11*(CB152*BY152))</f>
        <v>0</v>
      </c>
      <c r="CE152" s="3">
        <f>(((CC152-CD152)/1000)*0.000001)*$O$6</f>
        <v>0</v>
      </c>
      <c r="CF152" s="2" t="s">
        <v>63</v>
      </c>
      <c r="CG152" s="2"/>
    </row>
    <row r="153" spans="6:85" hidden="1">
      <c r="F153" s="2">
        <v>2</v>
      </c>
      <c r="G153" s="3" t="s">
        <v>85</v>
      </c>
      <c r="H153" s="3"/>
      <c r="I153" s="3">
        <f>IF(N119=1, 0.0384, IF(N119=2, 0.129, IF(N119=3, 0.061, IF(N119=4, 0.0566, IF(N119=5, 0.0106, IF(N119=6, 0.0106, IF(N119=7, 0.0005, IF(N119=8, 0.0005,""))))))))</f>
        <v>3.8399999999999997E-2</v>
      </c>
      <c r="J153" s="3" t="str">
        <f>IF((J$8=G153),F153,"")</f>
        <v/>
      </c>
      <c r="K153" s="3" t="str">
        <f>IFERROR(SMALL(J$152:J$156,F153),"")</f>
        <v/>
      </c>
      <c r="L153" s="58">
        <v>101</v>
      </c>
      <c r="M153" s="3" t="b">
        <f>IF(K$152=F153,J$10*I153*23713)</f>
        <v>0</v>
      </c>
      <c r="N153" s="3" t="b">
        <f>IF(K$152=F153,J$11*I153*23713)</f>
        <v>0</v>
      </c>
      <c r="O153" s="3">
        <f>(((M153-N153)/1000)*0.000001)*J6</f>
        <v>0</v>
      </c>
      <c r="P153" s="2" t="s">
        <v>63</v>
      </c>
      <c r="Q153" s="2"/>
      <c r="R153" s="2"/>
      <c r="S153" s="2"/>
      <c r="U153" s="2">
        <v>2</v>
      </c>
      <c r="V153" s="3" t="s">
        <v>85</v>
      </c>
      <c r="W153" s="3"/>
      <c r="X153" s="3" t="str">
        <f>IF(AC119=1, 0.0384, IF(AC119=2, 0.129, IF(AC119=3, 0.061, IF(AC119=4, 0.0566, IF(AC119=5, 0.0106, IF(AC119=6, 0.0106, IF(AC119=7, 0.0005, IF(AC119=8, 0.0005,""))))))))</f>
        <v/>
      </c>
      <c r="Y153" s="3" t="str">
        <f>IF((K$8=V153),U153,"")</f>
        <v/>
      </c>
      <c r="Z153" s="3" t="str">
        <f>IFERROR(SMALL(Y$152:Y$156,U153),"")</f>
        <v/>
      </c>
      <c r="AA153" s="58">
        <v>101</v>
      </c>
      <c r="AB153" s="3" t="b">
        <f>IF(Z$152=U153,K$10*X153*23713)</f>
        <v>0</v>
      </c>
      <c r="AC153" s="3" t="b">
        <f>IF(Z$152=U153,K$11*X153*23713)</f>
        <v>0</v>
      </c>
      <c r="AD153" s="3">
        <f>(((AB153-AC153)/1000)*0.000001)*K6</f>
        <v>0</v>
      </c>
      <c r="AE153" s="2" t="s">
        <v>63</v>
      </c>
      <c r="AF153" s="2"/>
      <c r="AG153" s="2"/>
      <c r="AH153" s="2"/>
      <c r="AI153" s="2">
        <v>2</v>
      </c>
      <c r="AJ153" s="3" t="s">
        <v>85</v>
      </c>
      <c r="AK153" s="3"/>
      <c r="AL153" s="3" t="str">
        <f>IF(AQ119=1, 0.0384, IF(AQ119=2, 0.129, IF(AQ119=3, 0.061, IF(AQ119=4, 0.0566, IF(AQ119=5, 0.0106, IF(AQ119=6, 0.0106, IF(AQ119=7, 0.0005, IF(AQ119=8, 0.0005,""))))))))</f>
        <v/>
      </c>
      <c r="AM153" s="3" t="str">
        <f>IF((L$8=AJ153),AI153,"")</f>
        <v/>
      </c>
      <c r="AN153" s="3" t="str">
        <f>IFERROR(SMALL(AM$152:AM$156,AI153),"")</f>
        <v/>
      </c>
      <c r="AO153" s="58">
        <v>101</v>
      </c>
      <c r="AP153" s="3" t="b">
        <f>IF(AN$152=AI153,L$10*AL153*23713)</f>
        <v>0</v>
      </c>
      <c r="AQ153" s="3" t="b">
        <f>IF(AN$152=AI153,L$11*AL153*23713)</f>
        <v>0</v>
      </c>
      <c r="AR153" s="3">
        <f>(((AP153-AQ153)/1000)*0.000001)*L6</f>
        <v>0</v>
      </c>
      <c r="AS153" s="2" t="s">
        <v>63</v>
      </c>
      <c r="AT153" s="2"/>
      <c r="AU153" s="2"/>
      <c r="AW153" s="2">
        <v>2</v>
      </c>
      <c r="AX153" s="3" t="s">
        <v>85</v>
      </c>
      <c r="AY153" s="3"/>
      <c r="AZ153" s="3" t="str">
        <f>IF(BE119=1, 0.0384, IF(BE119=2, 0.129, IF(BE119=3, 0.061, IF(BE119=4, 0.0566, IF(BE119=5, 0.0106, IF(BE119=6, 0.0106, IF(BE119=7, 0.0005, IF(BE119=8, 0.0005,""))))))))</f>
        <v/>
      </c>
      <c r="BA153" s="3" t="str">
        <f>IF((M$8=AX153),AW153,"")</f>
        <v/>
      </c>
      <c r="BB153" s="3" t="str">
        <f>IFERROR(SMALL(BA$152:BA$156,AW153),"")</f>
        <v/>
      </c>
      <c r="BC153" s="58">
        <v>101</v>
      </c>
      <c r="BD153" s="3" t="b">
        <f>IF(BB$152=AW153,M$10*AZ153*23713)</f>
        <v>0</v>
      </c>
      <c r="BE153" s="3" t="b">
        <f>IF(BB$152=AW153,M$11*AZ153*23713)</f>
        <v>0</v>
      </c>
      <c r="BF153" s="3">
        <f>(((BD153-BE153)/1000)*0.000001)*M6</f>
        <v>0</v>
      </c>
      <c r="BG153" s="2" t="s">
        <v>63</v>
      </c>
      <c r="BH153" s="2"/>
      <c r="BK153" s="2">
        <v>2</v>
      </c>
      <c r="BL153" s="3" t="s">
        <v>85</v>
      </c>
      <c r="BM153" s="3"/>
      <c r="BN153" s="3" t="str">
        <f>IF(BS119=1, 0.0384, IF(BS119=2, 0.129, IF(BS119=3, 0.061, IF(BS119=4, 0.0566, IF(BS119=5, 0.0106, IF(BS119=6, 0.0106, IF(BS119=7, 0.0005, IF(BS119=8, 0.0005,""))))))))</f>
        <v/>
      </c>
      <c r="BO153" s="3" t="str">
        <f>IF((N$8=BL153),BK153,"")</f>
        <v/>
      </c>
      <c r="BP153" s="3" t="str">
        <f>IFERROR(SMALL(BO$152:BO$156,BK153),"")</f>
        <v/>
      </c>
      <c r="BQ153" s="58">
        <v>101</v>
      </c>
      <c r="BR153" s="3" t="b">
        <f>IF(BP$152=BK153,N$10*BN153*23713)</f>
        <v>0</v>
      </c>
      <c r="BS153" s="3" t="b">
        <f>IF(BP$152=BK153,N$11*BN153*23713)</f>
        <v>0</v>
      </c>
      <c r="BT153" s="3">
        <f>(((BR153-BS153)/1000)*0.000001)*N6</f>
        <v>0</v>
      </c>
      <c r="BU153" s="2" t="s">
        <v>63</v>
      </c>
      <c r="BV153" s="2">
        <v>2</v>
      </c>
      <c r="BW153" s="3" t="s">
        <v>85</v>
      </c>
      <c r="BX153" s="3"/>
      <c r="BY153" s="3" t="str">
        <f>IF(CD119=1, 0.0384, IF(CD119=2, 0.129, IF(CD119=3, 0.061, IF(CD119=4, 0.0566, IF(CD119=5, 0.0106, IF(CD119=6, 0.0106, IF(CD119=7, 0.0005, IF(CD119=8, 0.0005,""))))))))</f>
        <v/>
      </c>
      <c r="BZ153" s="3" t="str">
        <f>IF((O$8=BW153),BV153,"")</f>
        <v/>
      </c>
      <c r="CA153" s="3" t="str">
        <f>IFERROR(SMALL(BZ$152:BZ$156,BV153),"")</f>
        <v/>
      </c>
      <c r="CB153" s="58">
        <v>101</v>
      </c>
      <c r="CC153" s="3" t="b">
        <f>IF(CA$152=BV153,O$10*BY153*23713)</f>
        <v>0</v>
      </c>
      <c r="CD153" s="3" t="b">
        <f>IF(CA$152=BV153,O$11*BY153*23713)</f>
        <v>0</v>
      </c>
      <c r="CE153" s="3">
        <f>(((CC153-CD153)/1000)*0.000001)*O6</f>
        <v>0</v>
      </c>
      <c r="CF153" s="2" t="s">
        <v>63</v>
      </c>
      <c r="CG153" s="2"/>
    </row>
    <row r="154" spans="6:85" s="65" customFormat="1" hidden="1">
      <c r="F154" s="62">
        <v>3</v>
      </c>
      <c r="G154" s="63" t="s">
        <v>86</v>
      </c>
      <c r="H154" s="63"/>
      <c r="I154" s="63">
        <f>IF(N119=1,0.0698, IF(N119=2, 0.201, IF(N119=3, 0.104, IF(N119=4, 0.0881, IF(N119=5, 0.0161, IF(N119=6, 0.0161, IF(N119=7, 0.0008, IF(N119=8, 0.0008,""))))))))</f>
        <v>6.9800000000000001E-2</v>
      </c>
      <c r="J154" s="63" t="str">
        <f>IF((J$8=G154),F154,"")</f>
        <v/>
      </c>
      <c r="K154" s="63" t="str">
        <f>IFERROR(SMALL(J$152:J$156,F154),"")</f>
        <v/>
      </c>
      <c r="L154" s="64">
        <v>155</v>
      </c>
      <c r="M154" s="63" t="b">
        <f>IF(K$152=F154,J$10*I154*39994)</f>
        <v>0</v>
      </c>
      <c r="N154" s="63" t="b">
        <f>IF(K$152=F154,J$11*I154*39994)</f>
        <v>0</v>
      </c>
      <c r="O154" s="63">
        <f>(((M154-N154)/1000)*0.000001)*$J$6</f>
        <v>0</v>
      </c>
      <c r="P154" s="62" t="s">
        <v>63</v>
      </c>
      <c r="Q154" s="62"/>
      <c r="R154" s="62"/>
      <c r="S154" s="62"/>
      <c r="U154" s="62">
        <v>3</v>
      </c>
      <c r="V154" s="63" t="s">
        <v>86</v>
      </c>
      <c r="W154" s="63"/>
      <c r="X154" s="63" t="str">
        <f>IF(AC119=1,0.0698, IF(AC119=2, 0.201, IF(AC119=3, 0.104, IF(AC119=4, 0.0881, IF(AC119=5, 0.0161, IF(AC119=6, 0.0161, IF(AC119=7, 0.0008, IF(AC119=8, 0.0008,""))))))))</f>
        <v/>
      </c>
      <c r="Y154" s="63" t="str">
        <f>IF((K$8=V154),U154,"")</f>
        <v/>
      </c>
      <c r="Z154" s="63" t="str">
        <f>IFERROR(SMALL(Y$152:Y$156,U154),"")</f>
        <v/>
      </c>
      <c r="AA154" s="64">
        <v>155</v>
      </c>
      <c r="AB154" s="63" t="b">
        <f>IF(Z$152=U154,K$10*X154*39994)</f>
        <v>0</v>
      </c>
      <c r="AC154" s="63" t="b">
        <f>IF(Z$152=U154,K$11*X154*39994)</f>
        <v>0</v>
      </c>
      <c r="AD154" s="63">
        <f>(((AB154-AC154)/1000)*0.000001)*$K$6</f>
        <v>0</v>
      </c>
      <c r="AE154" s="62" t="s">
        <v>63</v>
      </c>
      <c r="AF154" s="62"/>
      <c r="AG154" s="62"/>
      <c r="AH154" s="62"/>
      <c r="AI154" s="62">
        <v>3</v>
      </c>
      <c r="AJ154" s="63" t="s">
        <v>86</v>
      </c>
      <c r="AK154" s="63"/>
      <c r="AL154" s="63" t="str">
        <f>IF(AQ119=1,0.0698, IF(AQ119=2, 0.201, IF(AQ119=3, 0.104, IF(AQ119=4, 0.0881, IF(AQ119=5, 0.0161, IF(AQ119=6, 0.0161, IF(AQ119=7, 0.0008, IF(AQ119=8, 0.0008,""))))))))</f>
        <v/>
      </c>
      <c r="AM154" s="63" t="str">
        <f>IF((L$8=AJ154),AI154,"")</f>
        <v/>
      </c>
      <c r="AN154" s="63" t="str">
        <f>IFERROR(SMALL(AM$152:AM$156,AI154),"")</f>
        <v/>
      </c>
      <c r="AO154" s="64">
        <v>155</v>
      </c>
      <c r="AP154" s="63" t="b">
        <f>IF(AN$152=AI154,L$10*AL154*39994)</f>
        <v>0</v>
      </c>
      <c r="AQ154" s="63" t="b">
        <f>IF(AN$152=AI154,L$11*AL154*39994)</f>
        <v>0</v>
      </c>
      <c r="AR154" s="63">
        <f>(((AP154-AQ154)/1000)*0.000001)*$L$6</f>
        <v>0</v>
      </c>
      <c r="AS154" s="62" t="s">
        <v>63</v>
      </c>
      <c r="AT154" s="62"/>
      <c r="AU154" s="62"/>
      <c r="AW154" s="62">
        <v>3</v>
      </c>
      <c r="AX154" s="63" t="s">
        <v>86</v>
      </c>
      <c r="AY154" s="63"/>
      <c r="AZ154" s="63" t="str">
        <f>IF(BE119=1,0.0698, IF(BE119=2, 0.201, IF(BE119=3, 0.104, IF(BE119=4, 0.0881, IF(BE119=5, 0.0161, IF(BE119=6, 0.0161, IF(BE119=7, 0.0008, IF(BE119=8, 0.0008,""))))))))</f>
        <v/>
      </c>
      <c r="BA154" s="63" t="str">
        <f>IF((M$8=AX154),AW154,"")</f>
        <v/>
      </c>
      <c r="BB154" s="63" t="str">
        <f>IFERROR(SMALL(BA$152:BA$156,AW154),"")</f>
        <v/>
      </c>
      <c r="BC154" s="64">
        <v>155</v>
      </c>
      <c r="BD154" s="63" t="b">
        <f>IF(BB$152=AW154,M$10*AZ154*39994)</f>
        <v>0</v>
      </c>
      <c r="BE154" s="63" t="b">
        <f>IF(BB$152=AW154,M$11*AZ154*39994)</f>
        <v>0</v>
      </c>
      <c r="BF154" s="63">
        <f>(((BD154-BE154)/1000)*0.000001)*$M$6</f>
        <v>0</v>
      </c>
      <c r="BG154" s="62" t="s">
        <v>63</v>
      </c>
      <c r="BH154" s="62"/>
      <c r="BK154" s="62">
        <v>3</v>
      </c>
      <c r="BL154" s="63" t="s">
        <v>86</v>
      </c>
      <c r="BM154" s="63"/>
      <c r="BN154" s="63" t="str">
        <f>IF(BS119=1,0.0698, IF(BS119=2, 0.201, IF(BS119=3, 0.104, IF(BS119=4, 0.0881, IF(BS119=5, 0.0161, IF(BS119=6, 0.0161, IF(BS119=7, 0.0008, IF(BS119=8, 0.0008,""))))))))</f>
        <v/>
      </c>
      <c r="BO154" s="63" t="str">
        <f>IF((N$8=BL154),BK154,"")</f>
        <v/>
      </c>
      <c r="BP154" s="63" t="str">
        <f>IFERROR(SMALL(BO$152:BO$156,BK154),"")</f>
        <v/>
      </c>
      <c r="BQ154" s="64">
        <v>155</v>
      </c>
      <c r="BR154" s="63" t="b">
        <f>IF(BP$152=BK154,N$10*BN154*39994)</f>
        <v>0</v>
      </c>
      <c r="BS154" s="63" t="b">
        <f>IF(BP$152=BK154,N$11*BN154*39994)</f>
        <v>0</v>
      </c>
      <c r="BT154" s="63">
        <f>(((BR154-BS154)/1000)*0.000001)*$N$6</f>
        <v>0</v>
      </c>
      <c r="BU154" s="62" t="s">
        <v>63</v>
      </c>
      <c r="BV154" s="62">
        <v>3</v>
      </c>
      <c r="BW154" s="63" t="s">
        <v>86</v>
      </c>
      <c r="BX154" s="63"/>
      <c r="BY154" s="63" t="str">
        <f>IF(CD119=1,0.0698, IF(CD119=2, 0.201, IF(CD119=3, 0.104, IF(CD119=4, 0.0881, IF(CD119=5, 0.0161, IF(CD119=6, 0.0161, IF(CD119=7, 0.0008, IF(CD119=8, 0.0008,""))))))))</f>
        <v/>
      </c>
      <c r="BZ154" s="63" t="str">
        <f>IF((O$8=BW154),BV154,"")</f>
        <v/>
      </c>
      <c r="CA154" s="63" t="str">
        <f>IFERROR(SMALL(BZ$152:BZ$156,BV154),"")</f>
        <v/>
      </c>
      <c r="CB154" s="64">
        <v>155</v>
      </c>
      <c r="CC154" s="63" t="b">
        <f>IF(CA$152=BV154,O$10*BY154*39994)</f>
        <v>0</v>
      </c>
      <c r="CD154" s="63" t="b">
        <f>IF(CA$152=BV154,O$11*BY154*39994)</f>
        <v>0</v>
      </c>
      <c r="CE154" s="63">
        <f>(((CC154-CD154)/1000)*0.000001)*$O$6</f>
        <v>0</v>
      </c>
      <c r="CF154" s="62" t="s">
        <v>63</v>
      </c>
      <c r="CG154" s="62"/>
    </row>
    <row r="155" spans="6:85" hidden="1">
      <c r="F155" s="2">
        <v>4</v>
      </c>
      <c r="G155" s="3" t="s">
        <v>87</v>
      </c>
      <c r="H155" s="3"/>
      <c r="I155" s="3">
        <f>IF(N119=1,0.09031, IF(N119=2,0.297, IF(N119=3,0.155, IF(N119=4, 0.13, IF(N119=5, 0.0239, IF(N119=6, 0.0239, IF(N119=7, 0.0012, IF(N119=8, 0.0012,""))))))))</f>
        <v>9.0310000000000001E-2</v>
      </c>
      <c r="J155" s="3" t="str">
        <f>IF((J$8=G155),F155,"")</f>
        <v/>
      </c>
      <c r="K155" s="3" t="str">
        <f>IFERROR(SMALL(J$152:J$156,F155),"")</f>
        <v/>
      </c>
      <c r="L155" s="58">
        <v>210</v>
      </c>
      <c r="M155" s="3" t="b">
        <f>IF(K$152=F155,J$10*I155*56275)</f>
        <v>0</v>
      </c>
      <c r="N155" s="3" t="b">
        <f>IF(K$152=F155,J$11*I155*56275)</f>
        <v>0</v>
      </c>
      <c r="O155" s="3">
        <f>(((M155-N155)/1000)*0.000001)*$J$6</f>
        <v>0</v>
      </c>
      <c r="P155" s="2" t="s">
        <v>63</v>
      </c>
      <c r="Q155" s="2"/>
      <c r="R155" s="2"/>
      <c r="S155" s="2"/>
      <c r="U155" s="2">
        <v>4</v>
      </c>
      <c r="V155" s="3" t="s">
        <v>87</v>
      </c>
      <c r="W155" s="3"/>
      <c r="X155" s="3" t="str">
        <f>IF(AC119=1,0.09031, IF(AC119=2,0.297, IF(AC119=3,0.155, IF(AC119=4, 0.13, IF(AC119=5, 0.0239, IF(AC119=6, 0.0239, IF(AC119=7, 0.0012, IF(AC119=8, 0.0012,""))))))))</f>
        <v/>
      </c>
      <c r="Y155" s="3" t="str">
        <f>IF((K$8=V155),U155,"")</f>
        <v/>
      </c>
      <c r="Z155" s="3" t="str">
        <f>IFERROR(SMALL(Y$152:Y$156,U155),"")</f>
        <v/>
      </c>
      <c r="AA155" s="58">
        <v>210</v>
      </c>
      <c r="AB155" s="3" t="b">
        <f>IF(Z$152=U155,K$10*X155*56275)</f>
        <v>0</v>
      </c>
      <c r="AC155" s="3" t="b">
        <f>IF(Z$152=U155,K$11*X155*56275)</f>
        <v>0</v>
      </c>
      <c r="AD155" s="3">
        <f>(((AB155-AC155)/1000)*0.000001)*$K$6</f>
        <v>0</v>
      </c>
      <c r="AE155" s="2" t="s">
        <v>63</v>
      </c>
      <c r="AF155" s="2"/>
      <c r="AG155" s="2"/>
      <c r="AH155" s="2"/>
      <c r="AI155" s="2">
        <v>4</v>
      </c>
      <c r="AJ155" s="3" t="s">
        <v>87</v>
      </c>
      <c r="AK155" s="3"/>
      <c r="AL155" s="3" t="str">
        <f>IF(AQ119=1,0.09031, IF(AQ119=2,0.297, IF(AQ119=3,0.155, IF(AQ119=4, 0.13, IF(AQ119=5, 0.0239, IF(AQ119=6, 0.0239, IF(AQ119=7, 0.0012, IF(AQ119=8, 0.0012,""))))))))</f>
        <v/>
      </c>
      <c r="AM155" s="3" t="str">
        <f>IF((L$8=AJ155),AI155,"")</f>
        <v/>
      </c>
      <c r="AN155" s="3" t="str">
        <f>IFERROR(SMALL(AM$152:AM$156,AI155),"")</f>
        <v/>
      </c>
      <c r="AO155" s="58">
        <v>210</v>
      </c>
      <c r="AP155" s="3" t="b">
        <f t="shared" ref="AP155" si="60">IF(AN$152=AI155,L$10*AL155*56275)</f>
        <v>0</v>
      </c>
      <c r="AQ155" s="3" t="b">
        <f t="shared" ref="AQ155" si="61">IF(AN$152=AI155,L$11*AL155*56275)</f>
        <v>0</v>
      </c>
      <c r="AR155" s="3">
        <f>(((AP155-AQ155)/1000)*0.000001)*$L$6</f>
        <v>0</v>
      </c>
      <c r="AS155" s="2" t="s">
        <v>63</v>
      </c>
      <c r="AT155" s="2"/>
      <c r="AU155" s="2"/>
      <c r="AW155" s="2">
        <v>4</v>
      </c>
      <c r="AX155" s="3" t="s">
        <v>87</v>
      </c>
      <c r="AY155" s="3"/>
      <c r="AZ155" s="3" t="str">
        <f>IF(BE119=1,0.09031, IF(BE119=2,0.297, IF(BE119=3,0.155, IF(BE119=4, 0.13, IF(BE119=5, 0.0239, IF(BE119=6, 0.0239, IF(BE119=7, 0.0012, IF(BE119=8, 0.0012,""))))))))</f>
        <v/>
      </c>
      <c r="BA155" s="3" t="str">
        <f>IF((M$8=AX155),AW155,"")</f>
        <v/>
      </c>
      <c r="BB155" s="3" t="str">
        <f>IFERROR(SMALL(BA$152:BA$156,AW155),"")</f>
        <v/>
      </c>
      <c r="BC155" s="58">
        <v>210</v>
      </c>
      <c r="BD155" s="3" t="b">
        <f>IF(BB$152=AW155,M$10*AZ155*56275)</f>
        <v>0</v>
      </c>
      <c r="BE155" s="3" t="b">
        <f t="shared" ref="BE155:BE156" si="62">IF(BB$152=AW155,M$11*AZ155*56275)</f>
        <v>0</v>
      </c>
      <c r="BF155" s="3">
        <f t="shared" ref="BF155:BF156" si="63">(((BD155-BE155)/1000)*0.000001)*$M$6</f>
        <v>0</v>
      </c>
      <c r="BG155" s="2" t="s">
        <v>63</v>
      </c>
      <c r="BH155" s="2"/>
      <c r="BK155" s="2">
        <v>4</v>
      </c>
      <c r="BL155" s="3" t="s">
        <v>87</v>
      </c>
      <c r="BM155" s="3"/>
      <c r="BN155" s="3" t="str">
        <f>IF(BS119=1,0.09031, IF(BS119=2,0.297, IF(BS119=3,0.155, IF(BS119=4, 0.13, IF(BS119=5, 0.0239, IF(BS119=6, 0.0239, IF(BS119=7, 0.0012, IF(BS119=8, 0.0012,""))))))))</f>
        <v/>
      </c>
      <c r="BO155" s="3" t="str">
        <f>IF((N$8=BL155),BK155,"")</f>
        <v/>
      </c>
      <c r="BP155" s="3" t="str">
        <f>IFERROR(SMALL(BO$152:BO$156,BK155),"")</f>
        <v/>
      </c>
      <c r="BQ155" s="58">
        <v>210</v>
      </c>
      <c r="BR155" s="3" t="b">
        <f t="shared" ref="BR155:BR156" si="64">IF(BP$152=BK155,N$10*BN155*56275)</f>
        <v>0</v>
      </c>
      <c r="BS155" s="3" t="b">
        <f t="shared" ref="BS155:BS156" si="65">IF(BP$152=BK155,N$11*BN155*56275)</f>
        <v>0</v>
      </c>
      <c r="BT155" s="3">
        <f t="shared" ref="BT155:BT156" si="66">(((BR155-BS155)/1000)*0.000001)*$N$6</f>
        <v>0</v>
      </c>
      <c r="BU155" s="2" t="s">
        <v>63</v>
      </c>
      <c r="BV155" s="2">
        <v>4</v>
      </c>
      <c r="BW155" s="3" t="s">
        <v>87</v>
      </c>
      <c r="BX155" s="3"/>
      <c r="BY155" s="3" t="str">
        <f>IF(CD119=1,0.09031, IF(CD119=2,0.297, IF(CD119=3,0.155, IF(CD119=4, 0.13, IF(CD119=5, 0.0239, IF(CD119=6, 0.0239, IF(CD119=7, 0.0012, IF(CD119=8, 0.0012,""))))))))</f>
        <v/>
      </c>
      <c r="BZ155" s="3" t="str">
        <f>IF((O$8=BW155),BV155,"")</f>
        <v/>
      </c>
      <c r="CA155" s="3" t="str">
        <f>IFERROR(SMALL(BZ$152:BZ$156,BV155),"")</f>
        <v/>
      </c>
      <c r="CB155" s="58">
        <v>210</v>
      </c>
      <c r="CC155" s="3" t="b">
        <f t="shared" ref="CC155:CC156" si="67">IF(CA$152=BV155,O$10*BY155*56275)</f>
        <v>0</v>
      </c>
      <c r="CD155" s="3" t="b">
        <f t="shared" ref="CD155:CD156" si="68">IF(CA$152=BV155,O$11*BY155*56275)</f>
        <v>0</v>
      </c>
      <c r="CE155" s="3">
        <f t="shared" ref="CE155:CE156" si="69">(((CC155-CD155)/1000)*0.000001)*$O$6</f>
        <v>0</v>
      </c>
      <c r="CF155" s="2" t="s">
        <v>63</v>
      </c>
      <c r="CG155" s="2"/>
    </row>
    <row r="156" spans="6:85" hidden="1">
      <c r="F156" s="2">
        <v>5</v>
      </c>
      <c r="G156" s="3" t="s">
        <v>88</v>
      </c>
      <c r="H156" s="3"/>
      <c r="I156" s="3">
        <f>IF(N119=1,0.10845, IF(N119=2, 0.358, IF(N119=3, 0.194, IF(N119=4, 0.151, IF(N119=5, 0.0268, IF(N119=6, 0.0268, IF(N119=7, 0.0013, IF(N119=8, 0.0013,""))))))))</f>
        <v>0.10845</v>
      </c>
      <c r="J156" s="3" t="str">
        <f>IF((J$8=G156),F156,"")</f>
        <v/>
      </c>
      <c r="K156" s="3" t="str">
        <f>IFERROR(SMALL(J$152:J$156,F156),"")</f>
        <v/>
      </c>
      <c r="L156" s="58">
        <v>251</v>
      </c>
      <c r="M156" s="3" t="b">
        <f>IF(K$152=F156,J$10*I156*56275)</f>
        <v>0</v>
      </c>
      <c r="N156" s="3" t="b">
        <f>IF(K$152=F156,J$11*I156*56275)</f>
        <v>0</v>
      </c>
      <c r="O156" s="3">
        <f>(((M156-N156)/1000)*0.000001)*$J$6</f>
        <v>0</v>
      </c>
      <c r="P156" s="2" t="s">
        <v>63</v>
      </c>
      <c r="Q156" s="2"/>
      <c r="R156" s="2"/>
      <c r="S156" s="2"/>
      <c r="U156" s="2">
        <v>5</v>
      </c>
      <c r="V156" s="3" t="s">
        <v>88</v>
      </c>
      <c r="W156" s="3"/>
      <c r="X156" s="3" t="str">
        <f>IF(AC119=1,0.10845, IF(AC119=2, 0.358, IF(AC119=3, 0.194, IF(AC119=4, 0.151, IF(AC119=5, 0.0268, IF(AC119=6, 0.0268, IF(AC119=7, 0.0013, IF(AC119=8, 0.0013,""))))))))</f>
        <v/>
      </c>
      <c r="Y156" s="3" t="str">
        <f>IF((K$8=V156),U156,"")</f>
        <v/>
      </c>
      <c r="Z156" s="3" t="str">
        <f>IFERROR(SMALL(Y$152:Y$156,U156),"")</f>
        <v/>
      </c>
      <c r="AA156" s="58">
        <v>251</v>
      </c>
      <c r="AB156" s="3" t="b">
        <f>IF(Z$152=U156,K$10*X156*56275)</f>
        <v>0</v>
      </c>
      <c r="AC156" s="3" t="b">
        <f>IF(Z$152=U156,K$11*X156*56275)</f>
        <v>0</v>
      </c>
      <c r="AD156" s="3">
        <f>(((AB156-AC156)/1000)*0.000001)*$K$6</f>
        <v>0</v>
      </c>
      <c r="AE156" s="2" t="s">
        <v>63</v>
      </c>
      <c r="AF156" s="2"/>
      <c r="AG156" s="2"/>
      <c r="AH156" s="2"/>
      <c r="AI156" s="2">
        <v>5</v>
      </c>
      <c r="AJ156" s="3" t="s">
        <v>88</v>
      </c>
      <c r="AK156" s="3"/>
      <c r="AL156" s="3" t="str">
        <f>IF(AQ119=1,0.10845, IF(AQ119=2, 0.358, IF(AQ119=3, 0.194, IF(AQ119=4, 0.151, IF(AQ119=5, 0.0268, IF(AQ119=6, 0.0268, IF(AQ119=7, 0.0013, IF(AQ119=8, 0.0013,""))))))))</f>
        <v/>
      </c>
      <c r="AM156" s="3" t="str">
        <f>IF((L$8=AJ156),AI156,"")</f>
        <v/>
      </c>
      <c r="AN156" s="3" t="str">
        <f>IFERROR(SMALL(AM$152:AM$156,AI156),"")</f>
        <v/>
      </c>
      <c r="AO156" s="58">
        <v>251</v>
      </c>
      <c r="AP156" s="3" t="b">
        <f>IF(AN$152=AI156,L$10*AL156*56275)</f>
        <v>0</v>
      </c>
      <c r="AQ156" s="3" t="b">
        <f>IF(AN$152=AI156,L$11*AL156*56275)</f>
        <v>0</v>
      </c>
      <c r="AR156" s="3">
        <f t="shared" ref="AR156" si="70">(((AP156-AQ156)/1000)*0.000001)*$L$6</f>
        <v>0</v>
      </c>
      <c r="AS156" s="2" t="s">
        <v>63</v>
      </c>
      <c r="AT156" s="2"/>
      <c r="AU156" s="2"/>
      <c r="AW156" s="2">
        <v>5</v>
      </c>
      <c r="AX156" s="3" t="s">
        <v>88</v>
      </c>
      <c r="AY156" s="3"/>
      <c r="AZ156" s="3" t="str">
        <f>IF(BE119=1,0.10845, IF(BE119=2, 0.358, IF(BE119=3, 0.194, IF(BE119=4, 0.151, IF(BE119=5, 0.0268, IF(BE119=6, 0.0268, IF(BE119=7, 0.0013, IF(BE119=8, 0.0013,""))))))))</f>
        <v/>
      </c>
      <c r="BA156" s="3" t="str">
        <f>IF((M$8=AX156),AW156,"")</f>
        <v/>
      </c>
      <c r="BB156" s="3" t="str">
        <f>IFERROR(SMALL(BA$152:BA$156,AW156),"")</f>
        <v/>
      </c>
      <c r="BC156" s="58">
        <v>251</v>
      </c>
      <c r="BD156" s="3" t="b">
        <f t="shared" ref="BD156" si="71">IF(BB$152=AW156,M$10*AZ156*56275)</f>
        <v>0</v>
      </c>
      <c r="BE156" s="3" t="b">
        <f t="shared" si="62"/>
        <v>0</v>
      </c>
      <c r="BF156" s="3">
        <f t="shared" si="63"/>
        <v>0</v>
      </c>
      <c r="BG156" s="2" t="s">
        <v>63</v>
      </c>
      <c r="BH156" s="2"/>
      <c r="BK156" s="2">
        <v>5</v>
      </c>
      <c r="BL156" s="3" t="s">
        <v>88</v>
      </c>
      <c r="BM156" s="3"/>
      <c r="BN156" s="3" t="str">
        <f>IF(BS119=1,0.10845, IF(BS119=2, 0.358, IF(BS119=3, 0.194, IF(BS119=4, 0.151, IF(BS119=5, 0.0268, IF(BS119=6, 0.0268, IF(BS119=7, 0.0013, IF(BS119=8, 0.0013,""))))))))</f>
        <v/>
      </c>
      <c r="BO156" s="3" t="str">
        <f>IF((N$8=BL156),BK156,"")</f>
        <v/>
      </c>
      <c r="BP156" s="3" t="str">
        <f>IFERROR(SMALL(BO$152:BO$156,BK156),"")</f>
        <v/>
      </c>
      <c r="BQ156" s="58">
        <v>251</v>
      </c>
      <c r="BR156" s="3" t="b">
        <f t="shared" si="64"/>
        <v>0</v>
      </c>
      <c r="BS156" s="3" t="b">
        <f t="shared" si="65"/>
        <v>0</v>
      </c>
      <c r="BT156" s="3">
        <f t="shared" si="66"/>
        <v>0</v>
      </c>
      <c r="BU156" s="2" t="s">
        <v>63</v>
      </c>
      <c r="BV156" s="2">
        <v>5</v>
      </c>
      <c r="BW156" s="3" t="s">
        <v>88</v>
      </c>
      <c r="BX156" s="3"/>
      <c r="BY156" s="3" t="str">
        <f>IF(CD119=1,0.10845, IF(CD119=2, 0.358, IF(CD119=3, 0.194, IF(CD119=4, 0.151, IF(CD119=5, 0.0268, IF(CD119=6, 0.0268, IF(CD119=7, 0.0013, IF(CD119=8, 0.0013,""))))))))</f>
        <v/>
      </c>
      <c r="BZ156" s="3" t="str">
        <f>IF((O$8=BW156),BV156,"")</f>
        <v/>
      </c>
      <c r="CA156" s="3" t="str">
        <f>IFERROR(SMALL(BZ$152:BZ$156,BV156),"")</f>
        <v/>
      </c>
      <c r="CB156" s="58">
        <v>251</v>
      </c>
      <c r="CC156" s="3" t="b">
        <f t="shared" si="67"/>
        <v>0</v>
      </c>
      <c r="CD156" s="3" t="b">
        <f t="shared" si="68"/>
        <v>0</v>
      </c>
      <c r="CE156" s="3">
        <f t="shared" si="69"/>
        <v>0</v>
      </c>
      <c r="CF156" s="2" t="s">
        <v>63</v>
      </c>
      <c r="CG156" s="2"/>
    </row>
    <row r="157" spans="6:85" hidden="1">
      <c r="F157" s="2"/>
      <c r="G157" s="2"/>
      <c r="H157" s="2"/>
      <c r="I157" s="2"/>
      <c r="J157" s="2"/>
      <c r="K157" s="2"/>
      <c r="L157" s="2"/>
      <c r="M157" s="2"/>
      <c r="N157" s="2"/>
      <c r="O157" s="2"/>
      <c r="P157" s="2"/>
      <c r="Q157" s="2"/>
      <c r="R157" s="2"/>
      <c r="S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W157" s="2"/>
      <c r="AX157" s="2"/>
      <c r="AY157" s="2"/>
      <c r="AZ157" s="2"/>
      <c r="BA157" s="2"/>
      <c r="BB157" s="2"/>
      <c r="BC157" s="2"/>
      <c r="BD157" s="2"/>
      <c r="BE157" s="2"/>
      <c r="BF157" s="2"/>
      <c r="BG157" s="2"/>
      <c r="BH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row>
    <row r="158" spans="6:85" hidden="1">
      <c r="F158" s="2"/>
      <c r="G158" s="2"/>
      <c r="H158" s="2"/>
      <c r="I158" s="2"/>
      <c r="J158" s="2"/>
      <c r="K158" s="2"/>
      <c r="L158" s="2"/>
      <c r="M158" s="2"/>
      <c r="N158" s="2"/>
      <c r="O158" s="2"/>
      <c r="P158" s="2"/>
      <c r="Q158" s="2"/>
      <c r="R158" s="2"/>
      <c r="S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W158" s="2"/>
      <c r="AX158" s="2"/>
      <c r="AY158" s="2"/>
      <c r="AZ158" s="2"/>
      <c r="BA158" s="2"/>
      <c r="BB158" s="2"/>
      <c r="BC158" s="2"/>
      <c r="BD158" s="2"/>
      <c r="BE158" s="2"/>
      <c r="BF158" s="2"/>
      <c r="BG158" s="2"/>
      <c r="BH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row>
    <row r="159" spans="6:85" hidden="1">
      <c r="F159" s="2"/>
      <c r="G159" s="16" t="s">
        <v>90</v>
      </c>
      <c r="H159" s="2"/>
      <c r="I159" s="2"/>
      <c r="J159" s="2"/>
      <c r="K159" s="2"/>
      <c r="L159" s="2"/>
      <c r="M159" s="2"/>
      <c r="N159" s="2"/>
      <c r="O159" s="2"/>
      <c r="P159" s="2"/>
      <c r="Q159" s="2"/>
      <c r="R159" s="2"/>
      <c r="S159" s="2"/>
      <c r="U159" s="2"/>
      <c r="V159" s="2" t="s">
        <v>91</v>
      </c>
      <c r="W159" s="2"/>
      <c r="X159" s="2"/>
      <c r="Y159" s="2"/>
      <c r="Z159" s="2"/>
      <c r="AA159" s="2"/>
      <c r="AB159" s="2"/>
      <c r="AC159" s="2"/>
      <c r="AD159" s="2"/>
      <c r="AE159" s="2"/>
      <c r="AF159" s="2"/>
      <c r="AG159" s="2"/>
      <c r="AH159" s="2"/>
      <c r="AI159" s="2"/>
      <c r="AJ159" s="2" t="s">
        <v>91</v>
      </c>
      <c r="AK159" s="2"/>
      <c r="AL159" s="2"/>
      <c r="AM159" s="2"/>
      <c r="AN159" s="2"/>
      <c r="AO159" s="2"/>
      <c r="AP159" s="2"/>
      <c r="AQ159" s="2"/>
      <c r="AR159" s="2"/>
      <c r="AS159" s="2"/>
      <c r="AT159" s="2"/>
      <c r="AU159" s="2"/>
      <c r="AW159" s="2"/>
      <c r="AX159" s="2" t="s">
        <v>90</v>
      </c>
      <c r="AY159" s="2"/>
      <c r="AZ159" s="2"/>
      <c r="BA159" s="2"/>
      <c r="BB159" s="2"/>
      <c r="BC159" s="2"/>
      <c r="BD159" s="2"/>
      <c r="BE159" s="2"/>
      <c r="BF159" s="2"/>
      <c r="BG159" s="2"/>
      <c r="BH159" s="2"/>
      <c r="BK159" s="2"/>
      <c r="BL159" s="2" t="s">
        <v>90</v>
      </c>
      <c r="BM159" s="2"/>
      <c r="BN159" s="2"/>
      <c r="BO159" s="2"/>
      <c r="BP159" s="2"/>
      <c r="BQ159" s="2"/>
      <c r="BR159" s="2"/>
      <c r="BS159" s="2"/>
      <c r="BT159" s="2"/>
      <c r="BU159" s="2"/>
      <c r="BV159" s="2"/>
      <c r="BW159" s="2" t="s">
        <v>90</v>
      </c>
      <c r="BX159" s="2"/>
      <c r="BY159" s="2"/>
      <c r="BZ159" s="2"/>
      <c r="CA159" s="2"/>
      <c r="CB159" s="2"/>
      <c r="CC159" s="2"/>
      <c r="CD159" s="2"/>
      <c r="CE159" s="2"/>
      <c r="CF159" s="2"/>
      <c r="CG159" s="2"/>
    </row>
    <row r="160" spans="6:85" hidden="1">
      <c r="F160" s="2"/>
      <c r="G160" s="2"/>
      <c r="H160" s="2" t="s">
        <v>36</v>
      </c>
      <c r="I160" s="2" t="s">
        <v>36</v>
      </c>
      <c r="J160" s="2"/>
      <c r="K160" s="2"/>
      <c r="L160" s="2"/>
      <c r="M160" s="2"/>
      <c r="N160" s="2"/>
      <c r="O160" s="2"/>
      <c r="P160" s="2"/>
      <c r="Q160" s="2"/>
      <c r="R160" s="2"/>
      <c r="S160" s="2"/>
      <c r="U160" s="2"/>
      <c r="V160" s="2"/>
      <c r="W160" s="2" t="s">
        <v>36</v>
      </c>
      <c r="X160" s="2" t="s">
        <v>36</v>
      </c>
      <c r="Y160" s="2"/>
      <c r="Z160" s="2"/>
      <c r="AA160" s="2"/>
      <c r="AB160" s="2"/>
      <c r="AC160" s="2"/>
      <c r="AD160" s="2"/>
      <c r="AE160" s="2"/>
      <c r="AF160" s="2"/>
      <c r="AG160" s="2"/>
      <c r="AH160" s="2"/>
      <c r="AI160" s="2"/>
      <c r="AJ160" s="2"/>
      <c r="AK160" s="2" t="s">
        <v>36</v>
      </c>
      <c r="AL160" s="2" t="s">
        <v>36</v>
      </c>
      <c r="AM160" s="2"/>
      <c r="AN160" s="2"/>
      <c r="AO160" s="2"/>
      <c r="AP160" s="2"/>
      <c r="AQ160" s="2"/>
      <c r="AR160" s="2"/>
      <c r="AS160" s="2"/>
      <c r="AT160" s="2"/>
      <c r="AU160" s="2"/>
      <c r="AW160" s="2"/>
      <c r="AX160" s="2"/>
      <c r="AY160" s="2" t="s">
        <v>36</v>
      </c>
      <c r="AZ160" s="2" t="s">
        <v>36</v>
      </c>
      <c r="BA160" s="2"/>
      <c r="BB160" s="2"/>
      <c r="BC160" s="2"/>
      <c r="BD160" s="2"/>
      <c r="BE160" s="2"/>
      <c r="BF160" s="2"/>
      <c r="BG160" s="2"/>
      <c r="BH160" s="2"/>
      <c r="BK160" s="2"/>
      <c r="BL160" s="2"/>
      <c r="BM160" s="2" t="s">
        <v>36</v>
      </c>
      <c r="BN160" s="2" t="s">
        <v>36</v>
      </c>
      <c r="BO160" s="2"/>
      <c r="BP160" s="2"/>
      <c r="BQ160" s="2"/>
      <c r="BR160" s="2"/>
      <c r="BS160" s="2"/>
      <c r="BT160" s="2"/>
      <c r="BU160" s="2"/>
      <c r="BV160" s="2"/>
      <c r="BW160" s="2"/>
      <c r="BX160" s="2" t="s">
        <v>36</v>
      </c>
      <c r="BY160" s="2" t="s">
        <v>36</v>
      </c>
      <c r="BZ160" s="2"/>
      <c r="CA160" s="2"/>
      <c r="CB160" s="2"/>
      <c r="CC160" s="2"/>
      <c r="CD160" s="2"/>
      <c r="CE160" s="2"/>
      <c r="CF160" s="2"/>
      <c r="CG160" s="2"/>
    </row>
    <row r="161" spans="6:85" hidden="1">
      <c r="F161" s="2">
        <v>1</v>
      </c>
      <c r="G161" s="2" t="s">
        <v>18</v>
      </c>
      <c r="H161" s="2">
        <f>IF((J$9=G161),F161,"")</f>
        <v>1</v>
      </c>
      <c r="I161" s="2">
        <f>IFERROR(SMALL(H$161:H$169,F161),"")</f>
        <v>1</v>
      </c>
      <c r="J161" s="2"/>
      <c r="K161" s="2"/>
      <c r="L161" s="2"/>
      <c r="M161" s="2"/>
      <c r="N161" s="2"/>
      <c r="O161" s="2"/>
      <c r="P161" s="2"/>
      <c r="Q161" s="2"/>
      <c r="R161" s="2"/>
      <c r="S161" s="2"/>
      <c r="U161" s="2">
        <v>1</v>
      </c>
      <c r="V161" s="2" t="s">
        <v>18</v>
      </c>
      <c r="W161" s="2" t="str">
        <f>IF((K$9=V161),U161,"")</f>
        <v/>
      </c>
      <c r="X161" s="2">
        <f>IFERROR(SMALL(W$161:W$169,U161),"")</f>
        <v>9</v>
      </c>
      <c r="Y161" s="2"/>
      <c r="Z161" s="2"/>
      <c r="AA161" s="2"/>
      <c r="AB161" s="2"/>
      <c r="AC161" s="2"/>
      <c r="AD161" s="2"/>
      <c r="AE161" s="2"/>
      <c r="AF161" s="2"/>
      <c r="AG161" s="2"/>
      <c r="AH161" s="2"/>
      <c r="AI161" s="2">
        <v>1</v>
      </c>
      <c r="AJ161" s="2" t="s">
        <v>18</v>
      </c>
      <c r="AK161" s="2" t="str">
        <f>IF((L$9=AJ161),AI161,"")</f>
        <v/>
      </c>
      <c r="AL161" s="2" t="str">
        <f>IFERROR(SMALL(AK$161:AK$168,AI161),"")</f>
        <v/>
      </c>
      <c r="AM161" s="2"/>
      <c r="AN161" s="2"/>
      <c r="AO161" s="2"/>
      <c r="AP161" s="2"/>
      <c r="AQ161" s="2"/>
      <c r="AR161" s="2"/>
      <c r="AS161" s="2"/>
      <c r="AT161" s="2"/>
      <c r="AU161" s="2"/>
      <c r="AW161" s="2">
        <v>1</v>
      </c>
      <c r="AX161" s="2" t="s">
        <v>18</v>
      </c>
      <c r="AY161" s="2" t="str">
        <f>IF((M$9=AX161),AW161,"")</f>
        <v/>
      </c>
      <c r="AZ161" s="2" t="str">
        <f>IFERROR(SMALL(AY$161:AY$168,AW161),"")</f>
        <v/>
      </c>
      <c r="BA161" s="2"/>
      <c r="BB161" s="2"/>
      <c r="BC161" s="2"/>
      <c r="BD161" s="2"/>
      <c r="BE161" s="2"/>
      <c r="BF161" s="2"/>
      <c r="BG161" s="2"/>
      <c r="BH161" s="2"/>
      <c r="BK161" s="2">
        <v>1</v>
      </c>
      <c r="BL161" s="2" t="s">
        <v>18</v>
      </c>
      <c r="BM161" s="2" t="str">
        <f>IF((N$9=BL161),BK161,"")</f>
        <v/>
      </c>
      <c r="BN161" s="2" t="str">
        <f>IFERROR(SMALL(BM$161:BM$168,BK161),"")</f>
        <v/>
      </c>
      <c r="BO161" s="2"/>
      <c r="BP161" s="2"/>
      <c r="BQ161" s="2"/>
      <c r="BR161" s="2"/>
      <c r="BS161" s="2"/>
      <c r="BT161" s="2"/>
      <c r="BU161" s="2"/>
      <c r="BV161" s="2">
        <v>1</v>
      </c>
      <c r="BW161" s="2" t="s">
        <v>18</v>
      </c>
      <c r="BX161" s="2" t="str">
        <f>IF((O$9=BW161),BV161,"")</f>
        <v/>
      </c>
      <c r="BY161" s="2" t="str">
        <f>IFERROR(SMALL(BX$161:BX$168,BV161),"")</f>
        <v/>
      </c>
      <c r="BZ161" s="2"/>
      <c r="CA161" s="2"/>
      <c r="CB161" s="2"/>
      <c r="CC161" s="2"/>
      <c r="CD161" s="2"/>
      <c r="CE161" s="2"/>
      <c r="CF161" s="2"/>
      <c r="CG161" s="2"/>
    </row>
    <row r="162" spans="6:85" hidden="1">
      <c r="F162" s="2">
        <v>2</v>
      </c>
      <c r="G162" s="2" t="s">
        <v>77</v>
      </c>
      <c r="H162" s="2" t="str">
        <f t="shared" ref="H162:H169" si="72">IF((J$9=G162),F162,"")</f>
        <v/>
      </c>
      <c r="I162" s="2" t="str">
        <f t="shared" ref="I162:I169" si="73">IFERROR(SMALL(G$161:G$168,F162),"")</f>
        <v/>
      </c>
      <c r="J162" s="2"/>
      <c r="K162" s="2"/>
      <c r="L162" s="2"/>
      <c r="M162" s="2"/>
      <c r="N162" s="2"/>
      <c r="O162" s="2"/>
      <c r="P162" s="2"/>
      <c r="Q162" s="2"/>
      <c r="R162" s="2"/>
      <c r="S162" s="2"/>
      <c r="U162" s="2">
        <v>2</v>
      </c>
      <c r="V162" s="2" t="s">
        <v>77</v>
      </c>
      <c r="W162" s="2" t="str">
        <f t="shared" ref="W162:W169" si="74">IF((K$9=V162),U162,"")</f>
        <v/>
      </c>
      <c r="X162" s="2" t="str">
        <f t="shared" ref="X162:X169" si="75">IFERROR(SMALL(V$161:V$168,U162),"")</f>
        <v/>
      </c>
      <c r="Y162" s="2"/>
      <c r="Z162" s="2"/>
      <c r="AA162" s="2"/>
      <c r="AB162" s="2"/>
      <c r="AC162" s="2"/>
      <c r="AD162" s="2"/>
      <c r="AE162" s="2"/>
      <c r="AF162" s="2"/>
      <c r="AG162" s="2"/>
      <c r="AH162" s="2"/>
      <c r="AI162" s="2">
        <v>2</v>
      </c>
      <c r="AJ162" s="2" t="s">
        <v>77</v>
      </c>
      <c r="AK162" s="2" t="str">
        <f t="shared" ref="AK162:AK168" si="76">IF((L$9=AJ162),AI162,"")</f>
        <v/>
      </c>
      <c r="AL162" s="2" t="str">
        <f t="shared" ref="AL162:AL168" si="77">IFERROR(SMALL(AJ$161:AJ$168,AI162),"")</f>
        <v/>
      </c>
      <c r="AM162" s="2"/>
      <c r="AN162" s="2"/>
      <c r="AO162" s="2"/>
      <c r="AP162" s="2"/>
      <c r="AQ162" s="2"/>
      <c r="AR162" s="2"/>
      <c r="AS162" s="2"/>
      <c r="AT162" s="2"/>
      <c r="AU162" s="2"/>
      <c r="AW162" s="2">
        <v>2</v>
      </c>
      <c r="AX162" s="2" t="s">
        <v>77</v>
      </c>
      <c r="AY162" s="2" t="str">
        <f t="shared" ref="AY162:AY168" si="78">IF((M$9=AX162),AW162,"")</f>
        <v/>
      </c>
      <c r="AZ162" s="2" t="str">
        <f t="shared" ref="AZ162:AZ168" si="79">IFERROR(SMALL(AX$161:AX$168,AW162),"")</f>
        <v/>
      </c>
      <c r="BA162" s="2"/>
      <c r="BB162" s="2"/>
      <c r="BC162" s="2"/>
      <c r="BD162" s="2"/>
      <c r="BE162" s="2"/>
      <c r="BF162" s="2"/>
      <c r="BG162" s="2"/>
      <c r="BH162" s="2"/>
      <c r="BK162" s="2">
        <v>2</v>
      </c>
      <c r="BL162" s="2" t="s">
        <v>77</v>
      </c>
      <c r="BM162" s="2" t="str">
        <f t="shared" ref="BM162:BM168" si="80">IF((N$9=BL162),BK162,"")</f>
        <v/>
      </c>
      <c r="BN162" s="2" t="str">
        <f t="shared" ref="BN162:BN168" si="81">IFERROR(SMALL(BL$161:BL$168,BK162),"")</f>
        <v/>
      </c>
      <c r="BO162" s="2"/>
      <c r="BP162" s="2"/>
      <c r="BQ162" s="2"/>
      <c r="BR162" s="2"/>
      <c r="BS162" s="2"/>
      <c r="BT162" s="2"/>
      <c r="BU162" s="2"/>
      <c r="BV162" s="2">
        <v>2</v>
      </c>
      <c r="BW162" s="2" t="s">
        <v>77</v>
      </c>
      <c r="BX162" s="2" t="str">
        <f t="shared" ref="BX162:BX168" si="82">IF((O$9=BW162),BV162,"")</f>
        <v/>
      </c>
      <c r="BY162" s="2" t="str">
        <f t="shared" ref="BY162:BY168" si="83">IFERROR(SMALL(BW$161:BW$168,BV162),"")</f>
        <v/>
      </c>
      <c r="BZ162" s="2"/>
      <c r="CA162" s="2"/>
      <c r="CB162" s="2"/>
      <c r="CC162" s="2"/>
      <c r="CD162" s="2"/>
      <c r="CE162" s="2"/>
      <c r="CF162" s="2"/>
      <c r="CG162" s="2"/>
    </row>
    <row r="163" spans="6:85" hidden="1">
      <c r="F163" s="2">
        <v>3</v>
      </c>
      <c r="G163" s="2" t="s">
        <v>78</v>
      </c>
      <c r="H163" s="2" t="str">
        <f t="shared" si="72"/>
        <v/>
      </c>
      <c r="I163" s="2" t="str">
        <f t="shared" si="73"/>
        <v/>
      </c>
      <c r="J163" s="2"/>
      <c r="K163" s="2"/>
      <c r="L163" s="2"/>
      <c r="M163" s="2"/>
      <c r="N163" s="2"/>
      <c r="O163" s="2"/>
      <c r="P163" s="2"/>
      <c r="Q163" s="2"/>
      <c r="R163" s="2"/>
      <c r="S163" s="2"/>
      <c r="U163" s="2">
        <v>3</v>
      </c>
      <c r="V163" s="2" t="s">
        <v>78</v>
      </c>
      <c r="W163" s="2" t="str">
        <f t="shared" si="74"/>
        <v/>
      </c>
      <c r="X163" s="2" t="str">
        <f t="shared" si="75"/>
        <v/>
      </c>
      <c r="Y163" s="2"/>
      <c r="Z163" s="2"/>
      <c r="AA163" s="2"/>
      <c r="AB163" s="2"/>
      <c r="AC163" s="2"/>
      <c r="AD163" s="2"/>
      <c r="AE163" s="2"/>
      <c r="AF163" s="2"/>
      <c r="AG163" s="2"/>
      <c r="AH163" s="2"/>
      <c r="AI163" s="2">
        <v>3</v>
      </c>
      <c r="AJ163" s="2" t="s">
        <v>78</v>
      </c>
      <c r="AK163" s="2" t="str">
        <f t="shared" si="76"/>
        <v/>
      </c>
      <c r="AL163" s="2" t="str">
        <f t="shared" si="77"/>
        <v/>
      </c>
      <c r="AM163" s="2"/>
      <c r="AN163" s="2"/>
      <c r="AO163" s="2"/>
      <c r="AP163" s="2"/>
      <c r="AQ163" s="2"/>
      <c r="AR163" s="2"/>
      <c r="AS163" s="2"/>
      <c r="AT163" s="2"/>
      <c r="AU163" s="2"/>
      <c r="AW163" s="2">
        <v>3</v>
      </c>
      <c r="AX163" s="2" t="s">
        <v>78</v>
      </c>
      <c r="AY163" s="2" t="str">
        <f t="shared" si="78"/>
        <v/>
      </c>
      <c r="AZ163" s="2" t="str">
        <f t="shared" si="79"/>
        <v/>
      </c>
      <c r="BA163" s="2"/>
      <c r="BB163" s="2"/>
      <c r="BC163" s="2"/>
      <c r="BD163" s="2"/>
      <c r="BE163" s="2"/>
      <c r="BF163" s="2"/>
      <c r="BG163" s="2"/>
      <c r="BH163" s="2"/>
      <c r="BK163" s="2">
        <v>3</v>
      </c>
      <c r="BL163" s="2" t="s">
        <v>78</v>
      </c>
      <c r="BM163" s="2" t="str">
        <f t="shared" si="80"/>
        <v/>
      </c>
      <c r="BN163" s="2" t="str">
        <f t="shared" si="81"/>
        <v/>
      </c>
      <c r="BO163" s="2"/>
      <c r="BP163" s="2"/>
      <c r="BQ163" s="2"/>
      <c r="BR163" s="2"/>
      <c r="BS163" s="2"/>
      <c r="BT163" s="2"/>
      <c r="BU163" s="2"/>
      <c r="BV163" s="2">
        <v>3</v>
      </c>
      <c r="BW163" s="2" t="s">
        <v>78</v>
      </c>
      <c r="BX163" s="2" t="str">
        <f t="shared" si="82"/>
        <v/>
      </c>
      <c r="BY163" s="2" t="str">
        <f t="shared" si="83"/>
        <v/>
      </c>
      <c r="BZ163" s="2"/>
      <c r="CA163" s="2"/>
      <c r="CB163" s="2"/>
      <c r="CC163" s="2"/>
      <c r="CD163" s="2"/>
      <c r="CE163" s="2"/>
      <c r="CF163" s="2"/>
      <c r="CG163" s="2"/>
    </row>
    <row r="164" spans="6:85" hidden="1">
      <c r="F164" s="2">
        <v>4</v>
      </c>
      <c r="G164" s="2" t="s">
        <v>79</v>
      </c>
      <c r="H164" s="2" t="str">
        <f t="shared" si="72"/>
        <v/>
      </c>
      <c r="I164" s="2" t="str">
        <f t="shared" si="73"/>
        <v/>
      </c>
      <c r="J164" s="2"/>
      <c r="K164" s="2"/>
      <c r="L164" s="2"/>
      <c r="M164" s="2"/>
      <c r="N164" s="2"/>
      <c r="O164" s="2"/>
      <c r="P164" s="2"/>
      <c r="Q164" s="2"/>
      <c r="R164" s="2"/>
      <c r="S164" s="2"/>
      <c r="U164" s="2">
        <v>4</v>
      </c>
      <c r="V164" s="2" t="s">
        <v>79</v>
      </c>
      <c r="W164" s="2" t="str">
        <f t="shared" si="74"/>
        <v/>
      </c>
      <c r="X164" s="2" t="str">
        <f t="shared" si="75"/>
        <v/>
      </c>
      <c r="Y164" s="2"/>
      <c r="Z164" s="2"/>
      <c r="AA164" s="2"/>
      <c r="AB164" s="2"/>
      <c r="AC164" s="2"/>
      <c r="AD164" s="2"/>
      <c r="AE164" s="2"/>
      <c r="AF164" s="2"/>
      <c r="AG164" s="2"/>
      <c r="AH164" s="2"/>
      <c r="AI164" s="2">
        <v>4</v>
      </c>
      <c r="AJ164" s="2" t="s">
        <v>79</v>
      </c>
      <c r="AK164" s="2" t="str">
        <f t="shared" si="76"/>
        <v/>
      </c>
      <c r="AL164" s="2" t="str">
        <f t="shared" si="77"/>
        <v/>
      </c>
      <c r="AM164" s="2"/>
      <c r="AN164" s="2"/>
      <c r="AO164" s="2"/>
      <c r="AP164" s="2"/>
      <c r="AQ164" s="2"/>
      <c r="AR164" s="2"/>
      <c r="AS164" s="2"/>
      <c r="AT164" s="2"/>
      <c r="AU164" s="2"/>
      <c r="AW164" s="2">
        <v>4</v>
      </c>
      <c r="AX164" s="2" t="s">
        <v>79</v>
      </c>
      <c r="AY164" s="2" t="str">
        <f t="shared" si="78"/>
        <v/>
      </c>
      <c r="AZ164" s="2" t="str">
        <f t="shared" si="79"/>
        <v/>
      </c>
      <c r="BA164" s="2"/>
      <c r="BB164" s="2"/>
      <c r="BC164" s="2"/>
      <c r="BD164" s="2"/>
      <c r="BE164" s="2"/>
      <c r="BF164" s="2"/>
      <c r="BG164" s="2"/>
      <c r="BH164" s="2"/>
      <c r="BK164" s="2">
        <v>4</v>
      </c>
      <c r="BL164" s="2" t="s">
        <v>79</v>
      </c>
      <c r="BM164" s="2" t="str">
        <f t="shared" si="80"/>
        <v/>
      </c>
      <c r="BN164" s="2" t="str">
        <f t="shared" si="81"/>
        <v/>
      </c>
      <c r="BO164" s="2"/>
      <c r="BP164" s="2"/>
      <c r="BQ164" s="2"/>
      <c r="BR164" s="2"/>
      <c r="BS164" s="2"/>
      <c r="BT164" s="2"/>
      <c r="BU164" s="2"/>
      <c r="BV164" s="2">
        <v>4</v>
      </c>
      <c r="BW164" s="2" t="s">
        <v>79</v>
      </c>
      <c r="BX164" s="2" t="str">
        <f t="shared" si="82"/>
        <v/>
      </c>
      <c r="BY164" s="2" t="str">
        <f t="shared" si="83"/>
        <v/>
      </c>
      <c r="BZ164" s="2"/>
      <c r="CA164" s="2"/>
      <c r="CB164" s="2"/>
      <c r="CC164" s="2"/>
      <c r="CD164" s="2"/>
      <c r="CE164" s="2"/>
      <c r="CF164" s="2"/>
      <c r="CG164" s="2"/>
    </row>
    <row r="165" spans="6:85" hidden="1">
      <c r="F165" s="2">
        <v>5</v>
      </c>
      <c r="G165" s="2" t="s">
        <v>80</v>
      </c>
      <c r="H165" s="2" t="str">
        <f t="shared" si="72"/>
        <v/>
      </c>
      <c r="I165" s="2" t="str">
        <f t="shared" si="73"/>
        <v/>
      </c>
      <c r="J165" s="2"/>
      <c r="K165" s="2"/>
      <c r="L165" s="2"/>
      <c r="M165" s="2"/>
      <c r="N165" s="2"/>
      <c r="O165" s="2"/>
      <c r="P165" s="2"/>
      <c r="Q165" s="2"/>
      <c r="R165" s="2"/>
      <c r="S165" s="2"/>
      <c r="U165" s="2">
        <v>5</v>
      </c>
      <c r="V165" s="2" t="s">
        <v>80</v>
      </c>
      <c r="W165" s="2" t="str">
        <f t="shared" si="74"/>
        <v/>
      </c>
      <c r="X165" s="2" t="str">
        <f t="shared" si="75"/>
        <v/>
      </c>
      <c r="Y165" s="2"/>
      <c r="Z165" s="2"/>
      <c r="AA165" s="2"/>
      <c r="AB165" s="2"/>
      <c r="AC165" s="2"/>
      <c r="AD165" s="2"/>
      <c r="AE165" s="2"/>
      <c r="AF165" s="2"/>
      <c r="AG165" s="2"/>
      <c r="AH165" s="2"/>
      <c r="AI165" s="2">
        <v>5</v>
      </c>
      <c r="AJ165" s="2" t="s">
        <v>80</v>
      </c>
      <c r="AK165" s="2" t="str">
        <f t="shared" si="76"/>
        <v/>
      </c>
      <c r="AL165" s="2" t="str">
        <f t="shared" si="77"/>
        <v/>
      </c>
      <c r="AM165" s="2"/>
      <c r="AN165" s="2"/>
      <c r="AO165" s="2"/>
      <c r="AP165" s="2"/>
      <c r="AQ165" s="2"/>
      <c r="AR165" s="2"/>
      <c r="AS165" s="2"/>
      <c r="AT165" s="2"/>
      <c r="AU165" s="2"/>
      <c r="AW165" s="2">
        <v>5</v>
      </c>
      <c r="AX165" s="2" t="s">
        <v>80</v>
      </c>
      <c r="AY165" s="2" t="str">
        <f t="shared" si="78"/>
        <v/>
      </c>
      <c r="AZ165" s="2" t="str">
        <f t="shared" si="79"/>
        <v/>
      </c>
      <c r="BA165" s="2"/>
      <c r="BB165" s="2"/>
      <c r="BC165" s="2"/>
      <c r="BD165" s="2"/>
      <c r="BE165" s="2"/>
      <c r="BF165" s="2"/>
      <c r="BG165" s="2"/>
      <c r="BH165" s="2"/>
      <c r="BK165" s="2">
        <v>5</v>
      </c>
      <c r="BL165" s="2" t="s">
        <v>80</v>
      </c>
      <c r="BM165" s="2" t="str">
        <f t="shared" si="80"/>
        <v/>
      </c>
      <c r="BN165" s="2" t="str">
        <f t="shared" si="81"/>
        <v/>
      </c>
      <c r="BO165" s="2"/>
      <c r="BP165" s="2"/>
      <c r="BQ165" s="2"/>
      <c r="BR165" s="2"/>
      <c r="BS165" s="2"/>
      <c r="BT165" s="2"/>
      <c r="BU165" s="2"/>
      <c r="BV165" s="2">
        <v>5</v>
      </c>
      <c r="BW165" s="2" t="s">
        <v>80</v>
      </c>
      <c r="BX165" s="2" t="str">
        <f t="shared" si="82"/>
        <v/>
      </c>
      <c r="BY165" s="2" t="str">
        <f t="shared" si="83"/>
        <v/>
      </c>
      <c r="BZ165" s="2"/>
      <c r="CA165" s="2"/>
      <c r="CB165" s="2"/>
      <c r="CC165" s="2"/>
      <c r="CD165" s="2"/>
      <c r="CE165" s="2"/>
      <c r="CF165" s="2"/>
      <c r="CG165" s="2"/>
    </row>
    <row r="166" spans="6:85" hidden="1">
      <c r="F166" s="2">
        <v>6</v>
      </c>
      <c r="G166" s="2" t="s">
        <v>81</v>
      </c>
      <c r="H166" s="2" t="str">
        <f t="shared" si="72"/>
        <v/>
      </c>
      <c r="I166" s="2" t="str">
        <f t="shared" si="73"/>
        <v/>
      </c>
      <c r="J166" s="2"/>
      <c r="K166" s="2"/>
      <c r="L166" s="2"/>
      <c r="M166" s="2"/>
      <c r="N166" s="2"/>
      <c r="O166" s="2"/>
      <c r="P166" s="2"/>
      <c r="Q166" s="2"/>
      <c r="R166" s="2"/>
      <c r="S166" s="2"/>
      <c r="U166" s="2">
        <v>6</v>
      </c>
      <c r="V166" s="2" t="s">
        <v>81</v>
      </c>
      <c r="W166" s="2" t="str">
        <f t="shared" si="74"/>
        <v/>
      </c>
      <c r="X166" s="2" t="str">
        <f t="shared" si="75"/>
        <v/>
      </c>
      <c r="Y166" s="2"/>
      <c r="Z166" s="2"/>
      <c r="AA166" s="2"/>
      <c r="AB166" s="2"/>
      <c r="AC166" s="2"/>
      <c r="AD166" s="2"/>
      <c r="AE166" s="2"/>
      <c r="AF166" s="2"/>
      <c r="AG166" s="2"/>
      <c r="AH166" s="2"/>
      <c r="AI166" s="2">
        <v>6</v>
      </c>
      <c r="AJ166" s="2" t="s">
        <v>81</v>
      </c>
      <c r="AK166" s="2" t="str">
        <f t="shared" si="76"/>
        <v/>
      </c>
      <c r="AL166" s="2" t="str">
        <f t="shared" si="77"/>
        <v/>
      </c>
      <c r="AM166" s="2"/>
      <c r="AN166" s="2"/>
      <c r="AO166" s="2"/>
      <c r="AP166" s="2"/>
      <c r="AQ166" s="2"/>
      <c r="AR166" s="2"/>
      <c r="AS166" s="2"/>
      <c r="AT166" s="2"/>
      <c r="AU166" s="2"/>
      <c r="AW166" s="2">
        <v>6</v>
      </c>
      <c r="AX166" s="2" t="s">
        <v>81</v>
      </c>
      <c r="AY166" s="2" t="str">
        <f t="shared" si="78"/>
        <v/>
      </c>
      <c r="AZ166" s="2" t="str">
        <f t="shared" si="79"/>
        <v/>
      </c>
      <c r="BA166" s="2"/>
      <c r="BB166" s="2"/>
      <c r="BC166" s="2"/>
      <c r="BD166" s="2"/>
      <c r="BE166" s="2"/>
      <c r="BF166" s="2"/>
      <c r="BG166" s="2"/>
      <c r="BH166" s="2"/>
      <c r="BK166" s="2">
        <v>6</v>
      </c>
      <c r="BL166" s="2" t="s">
        <v>81</v>
      </c>
      <c r="BM166" s="2" t="str">
        <f t="shared" si="80"/>
        <v/>
      </c>
      <c r="BN166" s="2" t="str">
        <f t="shared" si="81"/>
        <v/>
      </c>
      <c r="BO166" s="2"/>
      <c r="BP166" s="2"/>
      <c r="BQ166" s="2"/>
      <c r="BR166" s="2"/>
      <c r="BS166" s="2"/>
      <c r="BT166" s="2"/>
      <c r="BU166" s="2"/>
      <c r="BV166" s="2">
        <v>6</v>
      </c>
      <c r="BW166" s="2" t="s">
        <v>81</v>
      </c>
      <c r="BX166" s="2" t="str">
        <f t="shared" si="82"/>
        <v/>
      </c>
      <c r="BY166" s="2" t="str">
        <f t="shared" si="83"/>
        <v/>
      </c>
      <c r="BZ166" s="2"/>
      <c r="CA166" s="2"/>
      <c r="CB166" s="2"/>
      <c r="CC166" s="2"/>
      <c r="CD166" s="2"/>
      <c r="CE166" s="2"/>
      <c r="CF166" s="2"/>
      <c r="CG166" s="2"/>
    </row>
    <row r="167" spans="6:85" hidden="1">
      <c r="F167" s="2">
        <v>7</v>
      </c>
      <c r="G167" s="2" t="s">
        <v>82</v>
      </c>
      <c r="H167" s="2" t="str">
        <f t="shared" si="72"/>
        <v/>
      </c>
      <c r="I167" s="2" t="str">
        <f t="shared" si="73"/>
        <v/>
      </c>
      <c r="J167" s="2"/>
      <c r="K167" s="2"/>
      <c r="L167" s="2"/>
      <c r="M167" s="2"/>
      <c r="N167" s="2"/>
      <c r="O167" s="2"/>
      <c r="P167" s="2"/>
      <c r="Q167" s="2"/>
      <c r="R167" s="2"/>
      <c r="S167" s="2"/>
      <c r="U167" s="2">
        <v>7</v>
      </c>
      <c r="V167" s="2" t="s">
        <v>82</v>
      </c>
      <c r="W167" s="2" t="str">
        <f t="shared" si="74"/>
        <v/>
      </c>
      <c r="X167" s="2" t="str">
        <f t="shared" si="75"/>
        <v/>
      </c>
      <c r="Y167" s="2"/>
      <c r="Z167" s="2"/>
      <c r="AA167" s="2"/>
      <c r="AB167" s="2"/>
      <c r="AC167" s="2"/>
      <c r="AD167" s="2"/>
      <c r="AE167" s="2"/>
      <c r="AF167" s="2"/>
      <c r="AG167" s="2"/>
      <c r="AH167" s="2"/>
      <c r="AI167" s="2">
        <v>7</v>
      </c>
      <c r="AJ167" s="2" t="s">
        <v>82</v>
      </c>
      <c r="AK167" s="2" t="str">
        <f t="shared" si="76"/>
        <v/>
      </c>
      <c r="AL167" s="2" t="str">
        <f t="shared" si="77"/>
        <v/>
      </c>
      <c r="AM167" s="2"/>
      <c r="AN167" s="2"/>
      <c r="AO167" s="2"/>
      <c r="AP167" s="2"/>
      <c r="AQ167" s="2"/>
      <c r="AR167" s="2"/>
      <c r="AS167" s="2"/>
      <c r="AT167" s="2"/>
      <c r="AU167" s="2"/>
      <c r="AW167" s="2">
        <v>7</v>
      </c>
      <c r="AX167" s="2" t="s">
        <v>82</v>
      </c>
      <c r="AY167" s="2" t="str">
        <f t="shared" si="78"/>
        <v/>
      </c>
      <c r="AZ167" s="2" t="str">
        <f t="shared" si="79"/>
        <v/>
      </c>
      <c r="BA167" s="2"/>
      <c r="BB167" s="2"/>
      <c r="BC167" s="2"/>
      <c r="BD167" s="2"/>
      <c r="BE167" s="2"/>
      <c r="BF167" s="2"/>
      <c r="BG167" s="2"/>
      <c r="BH167" s="2"/>
      <c r="BK167" s="2">
        <v>7</v>
      </c>
      <c r="BL167" s="2" t="s">
        <v>82</v>
      </c>
      <c r="BM167" s="2" t="str">
        <f t="shared" si="80"/>
        <v/>
      </c>
      <c r="BN167" s="2" t="str">
        <f t="shared" si="81"/>
        <v/>
      </c>
      <c r="BO167" s="2"/>
      <c r="BP167" s="2"/>
      <c r="BQ167" s="2"/>
      <c r="BR167" s="2"/>
      <c r="BS167" s="2"/>
      <c r="BT167" s="2"/>
      <c r="BU167" s="2"/>
      <c r="BV167" s="2">
        <v>7</v>
      </c>
      <c r="BW167" s="2" t="s">
        <v>82</v>
      </c>
      <c r="BX167" s="2" t="str">
        <f t="shared" si="82"/>
        <v/>
      </c>
      <c r="BY167" s="2" t="str">
        <f t="shared" si="83"/>
        <v/>
      </c>
      <c r="BZ167" s="2"/>
      <c r="CA167" s="2"/>
      <c r="CB167" s="2"/>
      <c r="CC167" s="2"/>
      <c r="CD167" s="2"/>
      <c r="CE167" s="2"/>
      <c r="CF167" s="2"/>
      <c r="CG167" s="2"/>
    </row>
    <row r="168" spans="6:85" hidden="1">
      <c r="F168" s="2">
        <v>8</v>
      </c>
      <c r="G168" s="2" t="s">
        <v>83</v>
      </c>
      <c r="H168" s="2" t="str">
        <f t="shared" si="72"/>
        <v/>
      </c>
      <c r="I168" s="2" t="str">
        <f t="shared" si="73"/>
        <v/>
      </c>
      <c r="J168" s="2"/>
      <c r="K168" s="2"/>
      <c r="L168" s="2"/>
      <c r="M168" s="2"/>
      <c r="N168" s="2"/>
      <c r="O168" s="2"/>
      <c r="P168" s="2"/>
      <c r="Q168" s="2"/>
      <c r="R168" s="2"/>
      <c r="S168" s="2"/>
      <c r="U168" s="2">
        <v>8</v>
      </c>
      <c r="V168" s="2" t="s">
        <v>83</v>
      </c>
      <c r="W168" s="2" t="str">
        <f t="shared" si="74"/>
        <v/>
      </c>
      <c r="X168" s="2" t="str">
        <f t="shared" si="75"/>
        <v/>
      </c>
      <c r="Y168" s="2"/>
      <c r="Z168" s="2"/>
      <c r="AA168" s="2"/>
      <c r="AB168" s="2"/>
      <c r="AC168" s="2"/>
      <c r="AD168" s="2"/>
      <c r="AE168" s="2"/>
      <c r="AF168" s="2"/>
      <c r="AG168" s="2"/>
      <c r="AH168" s="2"/>
      <c r="AI168" s="2">
        <v>8</v>
      </c>
      <c r="AJ168" s="2" t="s">
        <v>83</v>
      </c>
      <c r="AK168" s="2" t="str">
        <f t="shared" si="76"/>
        <v/>
      </c>
      <c r="AL168" s="2" t="str">
        <f t="shared" si="77"/>
        <v/>
      </c>
      <c r="AM168" s="2"/>
      <c r="AN168" s="2"/>
      <c r="AO168" s="2"/>
      <c r="AP168" s="2"/>
      <c r="AQ168" s="2"/>
      <c r="AR168" s="2"/>
      <c r="AS168" s="2"/>
      <c r="AT168" s="2"/>
      <c r="AU168" s="2"/>
      <c r="AW168" s="2">
        <v>8</v>
      </c>
      <c r="AX168" s="2" t="s">
        <v>83</v>
      </c>
      <c r="AY168" s="2" t="str">
        <f t="shared" si="78"/>
        <v/>
      </c>
      <c r="AZ168" s="2" t="str">
        <f t="shared" si="79"/>
        <v/>
      </c>
      <c r="BA168" s="2"/>
      <c r="BB168" s="2"/>
      <c r="BC168" s="2"/>
      <c r="BD168" s="2"/>
      <c r="BE168" s="2"/>
      <c r="BF168" s="2"/>
      <c r="BG168" s="2"/>
      <c r="BH168" s="2"/>
      <c r="BK168" s="2">
        <v>8</v>
      </c>
      <c r="BL168" s="2" t="s">
        <v>83</v>
      </c>
      <c r="BM168" s="2" t="str">
        <f t="shared" si="80"/>
        <v/>
      </c>
      <c r="BN168" s="2" t="str">
        <f t="shared" si="81"/>
        <v/>
      </c>
      <c r="BO168" s="2"/>
      <c r="BP168" s="2"/>
      <c r="BQ168" s="2"/>
      <c r="BR168" s="2"/>
      <c r="BS168" s="2"/>
      <c r="BT168" s="2"/>
      <c r="BU168" s="2"/>
      <c r="BV168" s="2">
        <v>8</v>
      </c>
      <c r="BW168" s="2" t="s">
        <v>83</v>
      </c>
      <c r="BX168" s="2" t="str">
        <f t="shared" si="82"/>
        <v/>
      </c>
      <c r="BY168" s="2" t="str">
        <f t="shared" si="83"/>
        <v/>
      </c>
      <c r="BZ168" s="2"/>
      <c r="CA168" s="2"/>
      <c r="CB168" s="2"/>
      <c r="CC168" s="2"/>
      <c r="CD168" s="2"/>
      <c r="CE168" s="2"/>
      <c r="CF168" s="2"/>
      <c r="CG168" s="2"/>
    </row>
    <row r="169" spans="6:85" hidden="1">
      <c r="F169" s="2">
        <v>9</v>
      </c>
      <c r="G169" s="17" t="s">
        <v>11</v>
      </c>
      <c r="H169" s="2" t="str">
        <f t="shared" si="72"/>
        <v/>
      </c>
      <c r="I169" s="2" t="str">
        <f t="shared" si="73"/>
        <v/>
      </c>
      <c r="J169" s="12" t="s">
        <v>69</v>
      </c>
      <c r="K169" s="2" t="s">
        <v>58</v>
      </c>
      <c r="L169" s="2" t="s">
        <v>58</v>
      </c>
      <c r="M169" s="12" t="s">
        <v>59</v>
      </c>
      <c r="N169" s="2" t="s">
        <v>60</v>
      </c>
      <c r="O169" s="2" t="s">
        <v>61</v>
      </c>
      <c r="P169" s="2" t="s">
        <v>62</v>
      </c>
      <c r="Q169" s="2"/>
      <c r="R169" s="2"/>
      <c r="S169" s="2"/>
      <c r="U169" s="2">
        <v>9</v>
      </c>
      <c r="V169" s="17" t="s">
        <v>11</v>
      </c>
      <c r="W169" s="2">
        <f t="shared" si="74"/>
        <v>9</v>
      </c>
      <c r="X169" s="2" t="str">
        <f t="shared" si="75"/>
        <v/>
      </c>
      <c r="Y169" s="12" t="s">
        <v>69</v>
      </c>
      <c r="Z169" s="2" t="s">
        <v>58</v>
      </c>
      <c r="AA169" s="2" t="s">
        <v>58</v>
      </c>
      <c r="AB169" s="12" t="s">
        <v>59</v>
      </c>
      <c r="AC169" s="2" t="s">
        <v>60</v>
      </c>
      <c r="AD169" s="2" t="s">
        <v>61</v>
      </c>
      <c r="AE169" s="2" t="s">
        <v>62</v>
      </c>
      <c r="AF169" s="2"/>
      <c r="AG169" s="2"/>
      <c r="AH169" s="2"/>
      <c r="AI169" s="2"/>
      <c r="AJ169" s="2"/>
      <c r="AK169" s="2"/>
      <c r="AL169" s="2"/>
      <c r="AM169" s="12" t="s">
        <v>69</v>
      </c>
      <c r="AN169" s="2" t="s">
        <v>58</v>
      </c>
      <c r="AO169" s="2" t="s">
        <v>58</v>
      </c>
      <c r="AP169" s="12" t="s">
        <v>59</v>
      </c>
      <c r="AQ169" s="2" t="s">
        <v>60</v>
      </c>
      <c r="AR169" s="2" t="s">
        <v>61</v>
      </c>
      <c r="AS169" s="2" t="s">
        <v>62</v>
      </c>
      <c r="AT169" s="2"/>
      <c r="AU169" s="2"/>
      <c r="AW169" s="2"/>
      <c r="AX169" s="2"/>
      <c r="AY169" s="2"/>
      <c r="AZ169" s="2"/>
      <c r="BA169" s="12" t="s">
        <v>69</v>
      </c>
      <c r="BB169" s="2" t="s">
        <v>58</v>
      </c>
      <c r="BC169" s="2" t="s">
        <v>58</v>
      </c>
      <c r="BD169" s="12" t="s">
        <v>59</v>
      </c>
      <c r="BE169" s="2" t="s">
        <v>60</v>
      </c>
      <c r="BF169" s="2" t="s">
        <v>61</v>
      </c>
      <c r="BG169" s="2" t="s">
        <v>62</v>
      </c>
      <c r="BH169" s="2"/>
      <c r="BK169" s="2"/>
      <c r="BL169" s="2"/>
      <c r="BM169" s="2"/>
      <c r="BN169" s="2"/>
      <c r="BO169" s="12" t="s">
        <v>69</v>
      </c>
      <c r="BP169" s="2" t="s">
        <v>58</v>
      </c>
      <c r="BQ169" s="2" t="s">
        <v>58</v>
      </c>
      <c r="BR169" s="12" t="s">
        <v>59</v>
      </c>
      <c r="BS169" s="2" t="s">
        <v>60</v>
      </c>
      <c r="BT169" s="2" t="s">
        <v>61</v>
      </c>
      <c r="BU169" s="2" t="s">
        <v>62</v>
      </c>
      <c r="BV169" s="2"/>
      <c r="BW169" s="2"/>
      <c r="BX169" s="2"/>
      <c r="BY169" s="2"/>
      <c r="BZ169" s="12" t="s">
        <v>69</v>
      </c>
      <c r="CA169" s="2" t="s">
        <v>58</v>
      </c>
      <c r="CB169" s="2" t="s">
        <v>58</v>
      </c>
      <c r="CC169" s="12" t="s">
        <v>59</v>
      </c>
      <c r="CD169" s="2" t="s">
        <v>60</v>
      </c>
      <c r="CE169" s="2" t="s">
        <v>61</v>
      </c>
      <c r="CF169" s="2" t="s">
        <v>62</v>
      </c>
      <c r="CG169" s="2"/>
    </row>
    <row r="170" spans="6:85" hidden="1">
      <c r="F170" s="11">
        <v>1</v>
      </c>
      <c r="G170" s="10" t="s">
        <v>92</v>
      </c>
      <c r="H170" s="9"/>
      <c r="I170" s="8"/>
      <c r="J170" s="7">
        <v>0.19525000000000001</v>
      </c>
      <c r="K170" s="3" t="str">
        <f>IF((J$8=G170),F170,"")</f>
        <v/>
      </c>
      <c r="L170" s="7" t="str">
        <f>IFERROR(SMALL(K$170:K$172,F170),"")</f>
        <v/>
      </c>
      <c r="M170" s="59">
        <v>495</v>
      </c>
      <c r="N170" s="7" t="b">
        <f>IF(L$170=F170,J$10*(M170*J170))</f>
        <v>0</v>
      </c>
      <c r="O170" s="7" t="b">
        <f>IF(L$170=F170,J$11*(M170*J170))</f>
        <v>0</v>
      </c>
      <c r="P170" s="7">
        <f>N170-O170</f>
        <v>0</v>
      </c>
      <c r="Q170" s="2"/>
      <c r="R170" s="2"/>
      <c r="S170" s="2"/>
      <c r="U170" s="11">
        <v>1</v>
      </c>
      <c r="V170" s="10" t="s">
        <v>92</v>
      </c>
      <c r="W170" s="9"/>
      <c r="X170" s="8"/>
      <c r="Y170" s="7">
        <v>0.19525000000000001</v>
      </c>
      <c r="Z170" s="3" t="str">
        <f>IF((K$8=V170),U170,"")</f>
        <v/>
      </c>
      <c r="AA170" s="7" t="str">
        <f>IFERROR(SMALL(Z$170:Z$172,U170),"")</f>
        <v/>
      </c>
      <c r="AB170" s="59">
        <v>495</v>
      </c>
      <c r="AC170" s="7" t="b">
        <f>IF(AA$170=U170,K$10*(AB170*Y170))</f>
        <v>0</v>
      </c>
      <c r="AD170" s="7" t="b">
        <f>IF(AA$170=U170,K$11*(AB170*Y170))</f>
        <v>0</v>
      </c>
      <c r="AE170" s="7">
        <f>AC170-AD170</f>
        <v>0</v>
      </c>
      <c r="AF170" s="2"/>
      <c r="AG170" s="2"/>
      <c r="AH170" s="2"/>
      <c r="AI170" s="11">
        <v>1</v>
      </c>
      <c r="AJ170" s="10" t="s">
        <v>92</v>
      </c>
      <c r="AK170" s="9"/>
      <c r="AL170" s="8"/>
      <c r="AM170" s="7">
        <v>0.19525000000000001</v>
      </c>
      <c r="AN170" s="3" t="str">
        <f>IF((L$8=AJ170),AI170,"")</f>
        <v/>
      </c>
      <c r="AO170" s="7" t="str">
        <f>IFERROR(SMALL(AN$170:AN$172,AI170),"")</f>
        <v/>
      </c>
      <c r="AP170" s="59">
        <v>495</v>
      </c>
      <c r="AQ170" s="7" t="b">
        <f>IF(AO$170=AI170,L$10*(AP170*AM170))</f>
        <v>0</v>
      </c>
      <c r="AR170" s="7" t="b">
        <f>IF(AO$170=AI170,L$11*(AP170*AM170))</f>
        <v>0</v>
      </c>
      <c r="AS170" s="7">
        <f>AQ170-AR170</f>
        <v>0</v>
      </c>
      <c r="AT170" s="2"/>
      <c r="AU170" s="2"/>
      <c r="AW170" s="11">
        <v>1</v>
      </c>
      <c r="AX170" s="10" t="s">
        <v>92</v>
      </c>
      <c r="AY170" s="9"/>
      <c r="AZ170" s="8"/>
      <c r="BA170" s="7">
        <v>0.19525000000000001</v>
      </c>
      <c r="BB170" s="3" t="str">
        <f>IF((M$8=AX170),AW170,"")</f>
        <v/>
      </c>
      <c r="BC170" s="7" t="str">
        <f>IFERROR(SMALL(BB$170:BB$172,AW170),"")</f>
        <v/>
      </c>
      <c r="BD170" s="59">
        <v>495</v>
      </c>
      <c r="BE170" s="7" t="b">
        <f>IF(BC$170=AW170,M$10*(BD170*BA170))</f>
        <v>0</v>
      </c>
      <c r="BF170" s="7" t="b">
        <f>IF(BC$170=AW170,M$11*(BD170*BA170))</f>
        <v>0</v>
      </c>
      <c r="BG170" s="7">
        <f>BE170-BF170</f>
        <v>0</v>
      </c>
      <c r="BH170" s="2"/>
      <c r="BK170" s="11">
        <v>1</v>
      </c>
      <c r="BL170" s="10" t="s">
        <v>92</v>
      </c>
      <c r="BM170" s="9"/>
      <c r="BN170" s="8"/>
      <c r="BO170" s="7">
        <v>0.19525000000000001</v>
      </c>
      <c r="BP170" s="3" t="str">
        <f>IF((N$8=BL170),BK170,"")</f>
        <v/>
      </c>
      <c r="BQ170" s="7" t="str">
        <f>IFERROR(SMALL(BP$170:BP$172,BK170),"")</f>
        <v/>
      </c>
      <c r="BR170" s="59">
        <v>495</v>
      </c>
      <c r="BS170" s="7" t="b">
        <f>IF(BQ$170=BK170,N$10*(BR170*BO170))</f>
        <v>0</v>
      </c>
      <c r="BT170" s="7" t="b">
        <f>IF(BQ$170=BK170,N$11*(BR170*BO170))</f>
        <v>0</v>
      </c>
      <c r="BU170" s="7">
        <f>BS170-BT170</f>
        <v>0</v>
      </c>
      <c r="BV170" s="11">
        <v>1</v>
      </c>
      <c r="BW170" s="10" t="s">
        <v>92</v>
      </c>
      <c r="BX170" s="9"/>
      <c r="BY170" s="8"/>
      <c r="BZ170" s="7">
        <v>0.19525000000000001</v>
      </c>
      <c r="CA170" s="3" t="str">
        <f>IF((O$8=BW170),BV170,"")</f>
        <v/>
      </c>
      <c r="CB170" s="7" t="str">
        <f>IFERROR(SMALL(CA$170:CA$172,BV170),"")</f>
        <v/>
      </c>
      <c r="CC170" s="59">
        <v>495</v>
      </c>
      <c r="CD170" s="7" t="b">
        <f>IF(CB$170=BV170,O$10*(CC170*BZ170))</f>
        <v>0</v>
      </c>
      <c r="CE170" s="7" t="b">
        <f>IF(CB$170=BV170,O$11*(CC170*BZ170))</f>
        <v>0</v>
      </c>
      <c r="CF170" s="7">
        <f>CD170-CE170</f>
        <v>0</v>
      </c>
      <c r="CG170" s="2"/>
    </row>
    <row r="171" spans="6:85" hidden="1">
      <c r="F171" s="2">
        <v>2</v>
      </c>
      <c r="G171" s="6" t="s">
        <v>93</v>
      </c>
      <c r="H171" s="5"/>
      <c r="I171" s="4"/>
      <c r="J171" s="3">
        <f>IF(I161=1,0.29457, IF(I161=2, 0.706, IF(I161=3, 0.463, IF(I161=4, 0.409, IF(I161=5, 0.022, IF(I161=6, 0.022, IF(I161=7, 0.22, IF(I161=8, 0.22,""))))))))</f>
        <v>0.29457</v>
      </c>
      <c r="K171" s="3" t="str">
        <f>IF((J$8=G171),F171,"")</f>
        <v/>
      </c>
      <c r="L171" s="3" t="str">
        <f>IFERROR(SMALL(K$170:K$172,F171),"")</f>
        <v/>
      </c>
      <c r="M171" s="58">
        <v>301</v>
      </c>
      <c r="N171" s="3" t="b">
        <f>IF(L$170=F$171,IF(J$7=G$26,J$10*J171*45366, IF(J$7=G$27, J$10*J$171*31130)))</f>
        <v>0</v>
      </c>
      <c r="O171" s="57" t="b">
        <f>IF(L$170=F171,IF(J$7=G$26,J$11*J171*45366, IF(J$7=G$27, J$11*J171*31130)))</f>
        <v>0</v>
      </c>
      <c r="P171" s="3">
        <f>(((N171-O171)/1000)*0.000001)*J6</f>
        <v>0</v>
      </c>
      <c r="Q171" s="2" t="s">
        <v>63</v>
      </c>
      <c r="R171" s="2"/>
      <c r="S171" s="2"/>
      <c r="U171" s="2">
        <v>2</v>
      </c>
      <c r="V171" s="6" t="s">
        <v>93</v>
      </c>
      <c r="W171" s="5"/>
      <c r="X171" s="4"/>
      <c r="Y171" s="3" t="str">
        <f>IF(X161=1,0.29457, IF(X161=2, 0.706, IF(X161=3, 0.463, IF(X161=4, 0.409, IF(X161=5, 0.022, IF(X161=6, 0.022, IF(X161=7, 0.22, IF(X161=8, 0.22,""))))))))</f>
        <v/>
      </c>
      <c r="Z171" s="3" t="str">
        <f>IF((K$8=V171),U171,"")</f>
        <v/>
      </c>
      <c r="AA171" s="3" t="str">
        <f>IFERROR(SMALL(Z$170:Z$172,U171),"")</f>
        <v/>
      </c>
      <c r="AB171" s="58">
        <v>301</v>
      </c>
      <c r="AC171" s="3" t="b">
        <f>IF(AA$170=U$171,IF(K$7=V$26, K$10*Y171*45366, IF(K$7=V$27, K$10*Y171*31130)))</f>
        <v>0</v>
      </c>
      <c r="AD171" s="3" t="b">
        <f>IF(AA$170=U171, IF(K$7=V$26,K$11*Y171*45366, IF(K$7=V$27, K$11*Y171*31130)))</f>
        <v>0</v>
      </c>
      <c r="AE171" s="3">
        <f>(((AC171-AD171)/1000)*0.000001)*K6</f>
        <v>0</v>
      </c>
      <c r="AF171" s="2" t="s">
        <v>63</v>
      </c>
      <c r="AG171" s="2"/>
      <c r="AH171" s="2"/>
      <c r="AI171" s="2">
        <v>2</v>
      </c>
      <c r="AJ171" s="6" t="s">
        <v>93</v>
      </c>
      <c r="AK171" s="5"/>
      <c r="AL171" s="4"/>
      <c r="AM171" s="3" t="str">
        <f>IF(AL161=1,0.29457, IF(AL161=2, 0.706, IF(AL161=3, 0.463, IF(AL161=4, 0.409, IF(AL161=5, 0.022, IF(AL161=6, 0.022, IF(AL161=7, 0.22, IF(AL161=8, 0.22,""))))))))</f>
        <v/>
      </c>
      <c r="AN171" s="3" t="str">
        <f>IF((L$8=AJ171),AI171,"")</f>
        <v/>
      </c>
      <c r="AO171" s="3" t="str">
        <f>IFERROR(SMALL(AN$170:AN$172,AI171),"")</f>
        <v/>
      </c>
      <c r="AP171" s="58">
        <v>301</v>
      </c>
      <c r="AQ171" s="3" t="b">
        <f>IF(AO$170=AI171, IF(L$7=AJ$26, L$10*AM171*45366, IF(L$7=AJ$27,L$10*AM171*31130)))</f>
        <v>0</v>
      </c>
      <c r="AR171" s="3" t="b">
        <f>IF(AO$170=AI171, IF(L$7=AJ$26,L$11*AM171*45366, IF(L$7=AJ$27,L$11*AM171*31130)))</f>
        <v>0</v>
      </c>
      <c r="AS171" s="3">
        <f>(((AQ171-AR171)/1000)*0.000001)*L6</f>
        <v>0</v>
      </c>
      <c r="AT171" s="2" t="s">
        <v>63</v>
      </c>
      <c r="AU171" s="2"/>
      <c r="AW171" s="2">
        <v>2</v>
      </c>
      <c r="AX171" s="6" t="s">
        <v>93</v>
      </c>
      <c r="AY171" s="5"/>
      <c r="AZ171" s="4"/>
      <c r="BA171" s="3" t="str">
        <f>IF(AZ161=1,0.29457, IF(AZ161=2, 0.706, IF(AZ161=3, 0.463, IF(AZ161=4, 0.409, IF(AZ161=5, 0.022, IF(AZ161=6, 0.022, IF(AZ161=7, 0.22, IF(AZ161=8, 0.22,""))))))))</f>
        <v/>
      </c>
      <c r="BB171" s="3" t="str">
        <f>IF((M$8=AX171),AW171,"")</f>
        <v/>
      </c>
      <c r="BC171" s="3" t="str">
        <f>IFERROR(SMALL(BB$170:BB$172,AW171),"")</f>
        <v/>
      </c>
      <c r="BD171" s="58">
        <v>301</v>
      </c>
      <c r="BE171" s="3" t="b">
        <f>IF(BC$170=AW171,IF(M$7=AX$26,M$10*BA171*45366,IF(M$7=AX$27,M$10*BA171*31130)))</f>
        <v>0</v>
      </c>
      <c r="BF171" s="3" t="b">
        <f>IF(BC$170=AW171,IF(M$7=AX$26,M$11*BA171*45366,IF(M$7=AX$27,M$11*BA171*31130)))</f>
        <v>0</v>
      </c>
      <c r="BG171" s="3">
        <f>(((BE171-BF171)/1000)*0.000001)*M6</f>
        <v>0</v>
      </c>
      <c r="BH171" s="2" t="s">
        <v>63</v>
      </c>
      <c r="BK171" s="2">
        <v>2</v>
      </c>
      <c r="BL171" s="6" t="s">
        <v>93</v>
      </c>
      <c r="BM171" s="5"/>
      <c r="BN171" s="4"/>
      <c r="BO171" s="3" t="str">
        <f>IF(BN161=1,0.29457, IF(BN161=2, 0.706, IF(BN161=3, 0.463, IF(BN161=4, 0.409, IF(BN161=5, 0.022, IF(BN161=6, 0.022, IF(BN161=7, 0.22, IF(BN161=8, 0.22,""))))))))</f>
        <v/>
      </c>
      <c r="BP171" s="3" t="str">
        <f>IF((N$8=BL171),BK171,"")</f>
        <v/>
      </c>
      <c r="BQ171" s="3" t="str">
        <f>IFERROR(SMALL(BP$170:BP$172,BK171),"")</f>
        <v/>
      </c>
      <c r="BR171" s="58">
        <v>301</v>
      </c>
      <c r="BS171" s="3" t="b">
        <f>IF(BQ$170=BK171,IF(N$7=BL$26,N$10*BO171*45366,IF(N$7=BL$27,N$10*BO171*31130)))</f>
        <v>0</v>
      </c>
      <c r="BT171" s="3" t="b">
        <f>IF(BQ$170=BK171,IF(N$7=BL$26,N$11*BO171*45366, IF(N$7=BL$27, N$11*BO171*31130)))</f>
        <v>0</v>
      </c>
      <c r="BU171" s="3">
        <f>(((BS171-BT171)/1000)*0.000001)*$N$6</f>
        <v>0</v>
      </c>
      <c r="BV171" s="2">
        <v>2</v>
      </c>
      <c r="BW171" s="6" t="s">
        <v>93</v>
      </c>
      <c r="BX171" s="5"/>
      <c r="BY171" s="4"/>
      <c r="BZ171" s="3" t="str">
        <f>IF(BY161=1,0.29457, IF(BY161=2, 0.706, IF(BY161=3, 0.463, IF(BY161=4, 0.409, IF(BY161=5, 0.022, IF(BY161=6, 0.022, IF(BY161=7, 0.22, IF(BY161=8, 0.22,""))))))))</f>
        <v/>
      </c>
      <c r="CA171" s="3" t="str">
        <f>IF((O$8=BW171),BV171,"")</f>
        <v/>
      </c>
      <c r="CB171" s="3" t="str">
        <f>IFERROR(SMALL(CA$170:CA$172,BV171),"")</f>
        <v/>
      </c>
      <c r="CC171" s="58">
        <v>301</v>
      </c>
      <c r="CD171" s="3" t="b">
        <f>IF(CB$170=BV171,IF(O$7=BW$26,O$10*BZ171*45366,IF(O$7=BW$27,O$10*BZ171*31130)))</f>
        <v>0</v>
      </c>
      <c r="CE171" s="3" t="b">
        <f>IF(CB$170=BV171,IF(O$7=BW$26,O$11*BZ171*45366,IF(O$7=BW$27,O$11*BZ171*31130)))</f>
        <v>0</v>
      </c>
      <c r="CF171" s="3">
        <f>(((CD171-CE171)/1000)*0.000001)*$O$6</f>
        <v>0</v>
      </c>
      <c r="CG171" s="2" t="s">
        <v>63</v>
      </c>
    </row>
    <row r="172" spans="6:85" hidden="1">
      <c r="F172" s="2">
        <v>3</v>
      </c>
      <c r="G172" s="6" t="s">
        <v>94</v>
      </c>
      <c r="H172" s="5"/>
      <c r="I172" s="4"/>
      <c r="J172" s="3">
        <f>IF(I161=1,0.26042, IF(I161=2, 0.624, IF(I161=3, 0.416, IF(I161=4, 0.399, IF(I161=5, 0.029, IF(I161=6, 0.021, IF(I161=7, 0.021, IF(I161=8, 0.021,""))))))))</f>
        <v>0.26041999999999998</v>
      </c>
      <c r="K172" s="3" t="str">
        <f>IF((J$8=G172),F172,"")</f>
        <v/>
      </c>
      <c r="L172" s="3" t="str">
        <f>IFERROR(SMALL(K$170:K$172,F172),"")</f>
        <v/>
      </c>
      <c r="M172" s="58">
        <v>247</v>
      </c>
      <c r="N172" s="3" t="b">
        <f>IF(L$170=F172,IF(J$7=G$26,J$10*J172*45366, IF(J$7=G$27, J$10*J172*31130)))</f>
        <v>0</v>
      </c>
      <c r="O172" s="57" t="b">
        <f>IF(L$170=F172,IF(J$7=G$26,J$11*J172*45366, IF(J$7=G$27, J$11*J172*31130)))</f>
        <v>0</v>
      </c>
      <c r="P172" s="3">
        <f>(((N172-O172)/1000)*0.000001)*J6</f>
        <v>0</v>
      </c>
      <c r="Q172" s="2" t="s">
        <v>63</v>
      </c>
      <c r="R172" s="2"/>
      <c r="S172" s="2"/>
      <c r="U172" s="2">
        <v>3</v>
      </c>
      <c r="V172" s="6" t="s">
        <v>94</v>
      </c>
      <c r="W172" s="5"/>
      <c r="X172" s="4"/>
      <c r="Y172" s="3" t="str">
        <f>IF(X161=1,0.26042, IF(X161=2, 0.624, IF(X161=3, 0.416, IF(X161=4, 0.399, IF(X161=5, 0.029, IF(X161=6, 0.021, IF(X161=7, 0.021, IF(X161=8, 0.021,""))))))))</f>
        <v/>
      </c>
      <c r="Z172" s="3" t="str">
        <f>IF((K$8=V172),U172,"")</f>
        <v/>
      </c>
      <c r="AA172" s="3" t="str">
        <f>IFERROR(SMALL(Z$170:Z$172,U172),"")</f>
        <v/>
      </c>
      <c r="AB172" s="58">
        <v>247</v>
      </c>
      <c r="AC172" s="3" t="b">
        <f>IF(AA$170=U$172,IF(K$7=V$26, K$10*Y172*45366, IF(K$7=V$27, K$10*Y172*31130)))</f>
        <v>0</v>
      </c>
      <c r="AD172" s="3" t="b">
        <f>IF(AA$170=U172, IF(K$7=V$26,K$11*Y172*45366, IF(K$7=V$27, K$11*Y172*31130)))</f>
        <v>0</v>
      </c>
      <c r="AE172" s="3">
        <f>(((AC172-AD172)/1000)*0.000001)*K6</f>
        <v>0</v>
      </c>
      <c r="AF172" s="2" t="s">
        <v>63</v>
      </c>
      <c r="AG172" s="2"/>
      <c r="AH172" s="2"/>
      <c r="AI172" s="2">
        <v>3</v>
      </c>
      <c r="AJ172" s="6" t="s">
        <v>94</v>
      </c>
      <c r="AK172" s="5"/>
      <c r="AL172" s="4"/>
      <c r="AM172" s="3" t="str">
        <f>IF(AL161=1,0.26042, IF(AL161=2, 0.624, IF(AL161=3, 0.416, IF(AL161=4, 0.399, IF(AL161=5, 0.029, IF(AL161=6, 0.021, IF(AL161=7, 0.021, IF(AL161=8, 0.021,""))))))))</f>
        <v/>
      </c>
      <c r="AN172" s="3" t="str">
        <f>IF((L$8=AJ172),AI172,"")</f>
        <v/>
      </c>
      <c r="AO172" s="3" t="str">
        <f>IFERROR(SMALL(AN$170:AN$172,AI172),"")</f>
        <v/>
      </c>
      <c r="AP172" s="58">
        <v>247</v>
      </c>
      <c r="AQ172" s="3" t="b">
        <f>IF(AO$170=AI172, IF(L$7=AJ$26, L$10*AM172*45366, IF(L$7=AJ$27,L$10*AM172*31130)))</f>
        <v>0</v>
      </c>
      <c r="AR172" s="3" t="b">
        <f>IF(AO$170=AI172, IF(L$7=AJ$26,L$11*AM172*45366, IF(L$7=AJ$27,L$11*AM172*31130)))</f>
        <v>0</v>
      </c>
      <c r="AS172" s="3">
        <f>(((AQ172-AR172)/1000)*0.000001)*L6</f>
        <v>0</v>
      </c>
      <c r="AT172" s="2" t="s">
        <v>63</v>
      </c>
      <c r="AU172" s="2"/>
      <c r="AW172" s="2">
        <v>3</v>
      </c>
      <c r="AX172" s="6" t="s">
        <v>94</v>
      </c>
      <c r="AY172" s="5"/>
      <c r="AZ172" s="4"/>
      <c r="BA172" s="3" t="str">
        <f>IF(AZ161=1,0.26042, IF(AZ161=2, 0.624, IF(AZ161=3, 0.416, IF(AZ161=4, 0.399, IF(AZ161=5, 0.029, IF(AZ161=6, 0.021, IF(AZ161=7, 0.021, IF(AZ161=8, 0.021,""))))))))</f>
        <v/>
      </c>
      <c r="BB172" s="3" t="str">
        <f>IF((M$8=AX172),AW172,"")</f>
        <v/>
      </c>
      <c r="BC172" s="3" t="str">
        <f>IFERROR(SMALL(BB$170:BB$172,AW172),"")</f>
        <v/>
      </c>
      <c r="BD172" s="58">
        <v>247</v>
      </c>
      <c r="BE172" s="3" t="b">
        <f>IF(BC$170=AW172,IF(M$7=AX$26,M$10*BA172*45366,IF(M$7=AX$27,M$10*BA172*31130)))</f>
        <v>0</v>
      </c>
      <c r="BF172" s="3" t="b">
        <f>IF(BC$170=AW172,IF(M$7=AX$26,M$11*BA172*45366,IF(M$7=AX$27,M$11*BA172*31130)))</f>
        <v>0</v>
      </c>
      <c r="BG172" s="3">
        <f>(((BE172-BF172)/1000)*0.000001)*M6</f>
        <v>0</v>
      </c>
      <c r="BH172" s="2" t="s">
        <v>63</v>
      </c>
      <c r="BK172" s="2">
        <v>3</v>
      </c>
      <c r="BL172" s="6" t="s">
        <v>94</v>
      </c>
      <c r="BM172" s="5"/>
      <c r="BN172" s="4"/>
      <c r="BO172" s="3" t="str">
        <f>IF(BN161=1,0.26042, IF(BN161=2, 0.624, IF(BN161=3, 0.416, IF(BN161=4, 0.399, IF(BN161=5, 0.029, IF(BN161=6, 0.021, IF(BN161=7, 0.021, IF(BN161=8, 0.021,""))))))))</f>
        <v/>
      </c>
      <c r="BP172" s="3" t="str">
        <f>IF((N$8=BL172),BK172,"")</f>
        <v/>
      </c>
      <c r="BQ172" s="3" t="str">
        <f>IFERROR(SMALL(BP$170:BP$172,BK172),"")</f>
        <v/>
      </c>
      <c r="BR172" s="58">
        <v>247</v>
      </c>
      <c r="BS172" s="3" t="b">
        <f>IF(BQ$170=BK172,IF(N$7=BL$26,N$10*BO172*45366,IF(N$7=BL$27,N$10*BO172*31130)))</f>
        <v>0</v>
      </c>
      <c r="BT172" s="3" t="b">
        <f>IF(BQ$170=BK172,IF(N$7=BL$26,N$11*BO172*45366, IF(N$7=BL$27, N$11*BO172*31130)))</f>
        <v>0</v>
      </c>
      <c r="BU172" s="3">
        <f>(((BS172-BT172)/1000)*0.000001)*$N$6</f>
        <v>0</v>
      </c>
      <c r="BV172" s="2">
        <v>3</v>
      </c>
      <c r="BW172" s="6" t="s">
        <v>94</v>
      </c>
      <c r="BX172" s="5"/>
      <c r="BY172" s="4"/>
      <c r="BZ172" s="3" t="str">
        <f>IF(BY161=1,0.26042, IF(BY161=2, 0.624, IF(BY161=3, 0.416, IF(BY161=4, 0.399, IF(BY161=5, 0.029, IF(BY161=6, 0.021, IF(BY161=7, 0.021, IF(BY161=8, 0.021,""))))))))</f>
        <v/>
      </c>
      <c r="CA172" s="3" t="str">
        <f>IF((O$8=BW172),BV172,"")</f>
        <v/>
      </c>
      <c r="CB172" s="3" t="str">
        <f>IFERROR(SMALL(CA$170:CA$172,BV172),"")</f>
        <v/>
      </c>
      <c r="CC172" s="58">
        <v>247</v>
      </c>
      <c r="CD172" s="3" t="b">
        <f>IF(CB$170=BV172,IF(O$7=BW$26,O$10*BZ172*45366,IF(O$7=BW$27,O$10*BZ172*31130)))</f>
        <v>0</v>
      </c>
      <c r="CE172" s="3" t="b">
        <f>IF(CB$170=BV172,IF(O$7=BW$26,O$11*BZ172*45366,IF(O$7=BW$27,O$11*BZ172*31130)))</f>
        <v>0</v>
      </c>
      <c r="CF172" s="3">
        <f>(((CD172-CE172)/1000)*0.000001)*$O$6</f>
        <v>0</v>
      </c>
      <c r="CG172" s="2" t="s">
        <v>63</v>
      </c>
    </row>
    <row r="173" spans="6:85" hidden="1">
      <c r="F173" s="2">
        <v>4</v>
      </c>
      <c r="G173" s="17" t="s">
        <v>11</v>
      </c>
      <c r="H173" s="2"/>
      <c r="I173" s="2"/>
      <c r="J173" s="2"/>
      <c r="K173" s="2"/>
      <c r="L173" s="2"/>
      <c r="M173" s="2"/>
      <c r="N173" s="2"/>
      <c r="O173" s="2"/>
      <c r="P173" s="2"/>
      <c r="Q173" s="2"/>
      <c r="R173" s="2"/>
      <c r="S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W173" s="2"/>
      <c r="AX173" s="2"/>
      <c r="AY173" s="2"/>
      <c r="AZ173" s="2"/>
      <c r="BA173" s="2"/>
      <c r="BB173" s="2"/>
      <c r="BC173" s="2"/>
      <c r="BD173" s="2"/>
      <c r="BE173" s="2"/>
      <c r="BF173" s="2"/>
      <c r="BG173" s="2"/>
      <c r="BH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row>
    <row r="174" spans="6:85" hidden="1">
      <c r="F174" s="2"/>
      <c r="G174" s="2"/>
      <c r="H174" s="2"/>
      <c r="I174" s="2"/>
      <c r="J174" s="12" t="s">
        <v>70</v>
      </c>
      <c r="K174" s="2" t="s">
        <v>58</v>
      </c>
      <c r="L174" s="2" t="s">
        <v>58</v>
      </c>
      <c r="M174" s="12" t="s">
        <v>59</v>
      </c>
      <c r="N174" s="2" t="s">
        <v>60</v>
      </c>
      <c r="O174" s="2" t="s">
        <v>61</v>
      </c>
      <c r="P174" s="2" t="s">
        <v>62</v>
      </c>
      <c r="Q174" s="2"/>
      <c r="R174" s="2"/>
      <c r="S174" s="2"/>
      <c r="U174" s="2"/>
      <c r="V174" s="2"/>
      <c r="W174" s="2"/>
      <c r="X174" s="2"/>
      <c r="Y174" s="12" t="s">
        <v>70</v>
      </c>
      <c r="Z174" s="2" t="s">
        <v>58</v>
      </c>
      <c r="AA174" s="2" t="s">
        <v>58</v>
      </c>
      <c r="AB174" s="12" t="s">
        <v>59</v>
      </c>
      <c r="AC174" s="2" t="s">
        <v>60</v>
      </c>
      <c r="AD174" s="2" t="s">
        <v>61</v>
      </c>
      <c r="AE174" s="2" t="s">
        <v>62</v>
      </c>
      <c r="AF174" s="2"/>
      <c r="AG174" s="2"/>
      <c r="AH174" s="2"/>
      <c r="AI174" s="2"/>
      <c r="AJ174" s="2"/>
      <c r="AK174" s="2"/>
      <c r="AL174" s="2"/>
      <c r="AM174" s="12" t="s">
        <v>70</v>
      </c>
      <c r="AN174" s="2" t="s">
        <v>58</v>
      </c>
      <c r="AO174" s="2" t="s">
        <v>58</v>
      </c>
      <c r="AP174" s="12" t="s">
        <v>59</v>
      </c>
      <c r="AQ174" s="2" t="s">
        <v>60</v>
      </c>
      <c r="AR174" s="2" t="s">
        <v>61</v>
      </c>
      <c r="AS174" s="2" t="s">
        <v>62</v>
      </c>
      <c r="AT174" s="2"/>
      <c r="AU174" s="2"/>
      <c r="AW174" s="2"/>
      <c r="AX174" s="2"/>
      <c r="AY174" s="2"/>
      <c r="AZ174" s="2"/>
      <c r="BA174" s="12" t="s">
        <v>70</v>
      </c>
      <c r="BB174" s="2" t="s">
        <v>58</v>
      </c>
      <c r="BC174" s="2" t="s">
        <v>58</v>
      </c>
      <c r="BD174" s="12" t="s">
        <v>59</v>
      </c>
      <c r="BE174" s="2" t="s">
        <v>60</v>
      </c>
      <c r="BF174" s="2" t="s">
        <v>61</v>
      </c>
      <c r="BG174" s="2" t="s">
        <v>62</v>
      </c>
      <c r="BH174" s="2"/>
      <c r="BK174" s="2"/>
      <c r="BL174" s="2"/>
      <c r="BM174" s="2"/>
      <c r="BN174" s="2"/>
      <c r="BO174" s="12" t="s">
        <v>70</v>
      </c>
      <c r="BP174" s="2" t="s">
        <v>58</v>
      </c>
      <c r="BQ174" s="2" t="s">
        <v>58</v>
      </c>
      <c r="BR174" s="12" t="s">
        <v>59</v>
      </c>
      <c r="BS174" s="2" t="s">
        <v>60</v>
      </c>
      <c r="BT174" s="2" t="s">
        <v>61</v>
      </c>
      <c r="BU174" s="2" t="s">
        <v>62</v>
      </c>
      <c r="BV174" s="2"/>
      <c r="BW174" s="2"/>
      <c r="BX174" s="2"/>
      <c r="BY174" s="2"/>
      <c r="BZ174" s="12" t="s">
        <v>70</v>
      </c>
      <c r="CA174" s="2" t="s">
        <v>58</v>
      </c>
      <c r="CB174" s="2" t="s">
        <v>58</v>
      </c>
      <c r="CC174" s="12" t="s">
        <v>59</v>
      </c>
      <c r="CD174" s="2" t="s">
        <v>60</v>
      </c>
      <c r="CE174" s="2" t="s">
        <v>61</v>
      </c>
      <c r="CF174" s="2" t="s">
        <v>62</v>
      </c>
      <c r="CG174" s="2"/>
    </row>
    <row r="175" spans="6:85" hidden="1">
      <c r="F175" s="11">
        <v>1</v>
      </c>
      <c r="G175" s="10" t="s">
        <v>92</v>
      </c>
      <c r="H175" s="9"/>
      <c r="I175" s="8"/>
      <c r="J175" s="7">
        <v>11</v>
      </c>
      <c r="K175" s="7" t="str">
        <f>IF((J$8=G175),F175,"")</f>
        <v/>
      </c>
      <c r="L175" s="7" t="str">
        <f>IFERROR(SMALL(K$175:K$177,F175),"")</f>
        <v/>
      </c>
      <c r="M175" s="59">
        <v>495</v>
      </c>
      <c r="N175" s="7" t="b">
        <f>IF(L$175=F175,J$10*(M175*J175))</f>
        <v>0</v>
      </c>
      <c r="O175" s="7" t="b">
        <f>IF(L$175=F175,J$11*(M175*J175))</f>
        <v>0</v>
      </c>
      <c r="P175" s="7">
        <f>N175-O175</f>
        <v>0</v>
      </c>
      <c r="Q175" s="2"/>
      <c r="R175" s="2"/>
      <c r="S175" s="2"/>
      <c r="U175" s="11">
        <v>1</v>
      </c>
      <c r="V175" s="10" t="s">
        <v>92</v>
      </c>
      <c r="W175" s="9"/>
      <c r="X175" s="8"/>
      <c r="Y175" s="7">
        <v>11</v>
      </c>
      <c r="Z175" s="7" t="str">
        <f>IF((K$8=V175),U175,"")</f>
        <v/>
      </c>
      <c r="AA175" s="7" t="str">
        <f>IFERROR(SMALL(Z$175:Z$177,U175),"")</f>
        <v/>
      </c>
      <c r="AB175" s="59">
        <v>495</v>
      </c>
      <c r="AC175" s="7" t="b">
        <f>IF(AA$175=U175,K$10*(AB175*Y175))</f>
        <v>0</v>
      </c>
      <c r="AD175" s="7" t="b">
        <f>IF(AA$175=U175,K$11*(AB175*Y175))</f>
        <v>0</v>
      </c>
      <c r="AE175" s="7">
        <f>AC175-AD175</f>
        <v>0</v>
      </c>
      <c r="AF175" s="2"/>
      <c r="AG175" s="2"/>
      <c r="AH175" s="2"/>
      <c r="AI175" s="11">
        <v>1</v>
      </c>
      <c r="AJ175" s="10" t="s">
        <v>92</v>
      </c>
      <c r="AK175" s="9"/>
      <c r="AL175" s="8"/>
      <c r="AM175" s="7">
        <v>11</v>
      </c>
      <c r="AN175" s="7" t="str">
        <f>IF((L$8=AJ175),AI175,"")</f>
        <v/>
      </c>
      <c r="AO175" s="7" t="str">
        <f>IFERROR(SMALL(AN$175:AN$177,AI175),"")</f>
        <v/>
      </c>
      <c r="AP175" s="59">
        <v>495</v>
      </c>
      <c r="AQ175" s="7" t="b">
        <f>IF(AO$175=AI175,L$10*(AP175*AM175))</f>
        <v>0</v>
      </c>
      <c r="AR175" s="7" t="b">
        <f>IF(AO$175=AI175,L$11*(AP175*AM175))</f>
        <v>0</v>
      </c>
      <c r="AS175" s="7">
        <f>AQ175-AR175</f>
        <v>0</v>
      </c>
      <c r="AT175" s="2"/>
      <c r="AU175" s="2"/>
      <c r="AW175" s="11">
        <v>1</v>
      </c>
      <c r="AX175" s="10" t="s">
        <v>92</v>
      </c>
      <c r="AY175" s="9"/>
      <c r="AZ175" s="8"/>
      <c r="BA175" s="7">
        <v>11</v>
      </c>
      <c r="BB175" s="7" t="str">
        <f>IF((AM$8=AX175),AW175,"")</f>
        <v/>
      </c>
      <c r="BC175" s="7" t="str">
        <f>IFERROR(SMALL(BB$175:BB$177,AW175),"")</f>
        <v/>
      </c>
      <c r="BD175" s="59">
        <v>495</v>
      </c>
      <c r="BE175" s="7" t="b">
        <f>IF(BC$175=AW175,M$10*(BD175*BA175))</f>
        <v>0</v>
      </c>
      <c r="BF175" s="7" t="b">
        <f>IF(BC$175=AW175,M$11*(BD175*BA175))</f>
        <v>0</v>
      </c>
      <c r="BG175" s="7">
        <f>BE175-BF175</f>
        <v>0</v>
      </c>
      <c r="BH175" s="2"/>
      <c r="BK175" s="11">
        <v>1</v>
      </c>
      <c r="BL175" s="10" t="s">
        <v>92</v>
      </c>
      <c r="BM175" s="9"/>
      <c r="BN175" s="8"/>
      <c r="BO175" s="7">
        <v>11</v>
      </c>
      <c r="BP175" s="7" t="str">
        <f>IF((N$8=BL175),BK175,"")</f>
        <v/>
      </c>
      <c r="BQ175" s="7" t="str">
        <f>IFERROR(SMALL(BP$175:BP$177,BK175),"")</f>
        <v/>
      </c>
      <c r="BR175" s="59">
        <v>495</v>
      </c>
      <c r="BS175" s="7" t="b">
        <f>IF(BQ$175=BK175,N$10*(BR175*BO175))</f>
        <v>0</v>
      </c>
      <c r="BT175" s="7" t="b">
        <f>IF(BQ$175=BK175,N$11*(BR175*BO175))</f>
        <v>0</v>
      </c>
      <c r="BU175" s="7">
        <f>BS175-BT175</f>
        <v>0</v>
      </c>
      <c r="BV175" s="11">
        <v>1</v>
      </c>
      <c r="BW175" s="10" t="s">
        <v>92</v>
      </c>
      <c r="BX175" s="9"/>
      <c r="BY175" s="8"/>
      <c r="BZ175" s="7">
        <v>11</v>
      </c>
      <c r="CA175" s="7" t="str">
        <f>IF((O$8=BW175),BV175,"")</f>
        <v/>
      </c>
      <c r="CB175" s="7" t="str">
        <f>IFERROR(SMALL(CA$175:CA$177,BV175),"")</f>
        <v/>
      </c>
      <c r="CC175" s="59">
        <v>495</v>
      </c>
      <c r="CD175" s="7" t="b">
        <f>IF(CB$175=BV175,O$10*(CC175*BZ175))</f>
        <v>0</v>
      </c>
      <c r="CE175" s="7" t="b">
        <f>IF(CB$175=BV175,O$11*(CC175*BZ175))</f>
        <v>0</v>
      </c>
      <c r="CF175" s="7">
        <f>CD175-CE175</f>
        <v>0</v>
      </c>
      <c r="CG175" s="2"/>
    </row>
    <row r="176" spans="6:85" hidden="1">
      <c r="F176" s="2">
        <v>2</v>
      </c>
      <c r="G176" s="6" t="s">
        <v>93</v>
      </c>
      <c r="H176" s="5"/>
      <c r="I176" s="4"/>
      <c r="J176" s="3">
        <f>IF(I161=1,5.9557, IF(I161=2,10.1, IF(I161=3, 10.7, IF(I161=4, 9.38, IF(I161=5, 5.42, IF(I161=6, 3.09, IF(I161=7, 1.5, IF(I161=8, 1.5,""))))))))</f>
        <v>5.9557000000000002</v>
      </c>
      <c r="K176" s="3" t="str">
        <f>IF((J$8=G176),F176,"")</f>
        <v/>
      </c>
      <c r="L176" s="3" t="str">
        <f>IFERROR(SMALL(K$175:K$177,F176),"")</f>
        <v/>
      </c>
      <c r="M176" s="58">
        <v>301</v>
      </c>
      <c r="N176" s="3" t="b">
        <f>IF(L$175=F176,IF(J$7=G$26,J$10*J176*45366, IF(J$7=G$27, J$10*J176*31130)))</f>
        <v>0</v>
      </c>
      <c r="O176" s="3" t="b">
        <f>IF(L$175=F176,IF(J$7=G$26,J$11*J176*45366, IF(J$7=G$27, J$11*J176*31130)))</f>
        <v>0</v>
      </c>
      <c r="P176" s="3">
        <f>(((N176-O176)/1000)*0.000001)*$J$6</f>
        <v>0</v>
      </c>
      <c r="Q176" s="2" t="s">
        <v>63</v>
      </c>
      <c r="R176" s="2"/>
      <c r="S176" s="2"/>
      <c r="U176" s="2">
        <v>2</v>
      </c>
      <c r="V176" s="6" t="s">
        <v>93</v>
      </c>
      <c r="W176" s="5"/>
      <c r="X176" s="4"/>
      <c r="Y176" s="3" t="str">
        <f>IF(X161=1,5.9557, IF(X161=2,10.1, IF(X161=3, 10.7, IF(X161=4, 9.38, IF(X161=5, 5.42, IF(X161=6, 3.09, IF(X161=7, 1.5, IF(X161=8, 1.5,""))))))))</f>
        <v/>
      </c>
      <c r="Z176" s="3" t="str">
        <f>IF((K$8=V176),U176,"")</f>
        <v/>
      </c>
      <c r="AA176" s="3" t="str">
        <f>IFERROR(SMALL(Z$175:Z$177,U176),"")</f>
        <v/>
      </c>
      <c r="AB176" s="58">
        <v>301</v>
      </c>
      <c r="AC176" s="3" t="b">
        <f>IF(AA$175=U176,IF(K$7=V$26, K$10*Y176*45366, IF(K$7=V$27, K$10*Y176*31130)))</f>
        <v>0</v>
      </c>
      <c r="AD176" s="3" t="b">
        <f>IF(AA$175=U176,IF(K$7=V$26,K$11*Y176*45366, IF(K$7=V$27, K$11*Y176*31130)))</f>
        <v>0</v>
      </c>
      <c r="AE176" s="3">
        <f>(((AC176-AD176)/1000)*0.000001)*$K$6</f>
        <v>0</v>
      </c>
      <c r="AF176" s="2" t="s">
        <v>63</v>
      </c>
      <c r="AG176" s="2"/>
      <c r="AH176" s="2"/>
      <c r="AI176" s="2">
        <v>2</v>
      </c>
      <c r="AJ176" s="6" t="s">
        <v>93</v>
      </c>
      <c r="AK176" s="5"/>
      <c r="AL176" s="4"/>
      <c r="AM176" s="3" t="str">
        <f>IF(AL161=1,5.9557, IF(AL161=2,10.1, IF(AL161=3, 10.7, IF(AL161=4, 9.38, IF(AL161=5, 5.42, IF(AL161=6, 3.09, IF(AL161=7, 1.5, IF(AL161=8, 1.5,""))))))))</f>
        <v/>
      </c>
      <c r="AN176" s="3" t="str">
        <f>IF((L$8=AJ176),AI176,"")</f>
        <v/>
      </c>
      <c r="AO176" s="3" t="str">
        <f>IFERROR(SMALL(AN$175:AN$177,AI176),"")</f>
        <v/>
      </c>
      <c r="AP176" s="58">
        <v>301</v>
      </c>
      <c r="AQ176" s="3" t="b">
        <f>IF(AO$175=AI176, IF(L$7=AJ$26,L$10*AM176*45366, IF(L$7=AJ$27, L$10*AM176*31130)))</f>
        <v>0</v>
      </c>
      <c r="AR176" s="3" t="b">
        <f>IF(AO$175=AI176, IF(L$7=AJ$26,L$11*AM176*45366, IF(L$7=AJ$27,L$11*AM176*31130)))</f>
        <v>0</v>
      </c>
      <c r="AS176" s="3">
        <f>(((AQ176-AR176)/1000)*0.000001)*L6</f>
        <v>0</v>
      </c>
      <c r="AT176" s="2" t="s">
        <v>63</v>
      </c>
      <c r="AU176" s="2"/>
      <c r="AW176" s="2">
        <v>2</v>
      </c>
      <c r="AX176" s="6" t="s">
        <v>93</v>
      </c>
      <c r="AY176" s="5"/>
      <c r="AZ176" s="4"/>
      <c r="BA176" s="3" t="str">
        <f>IF(AZ161=1,5.9557, IF(AZ161=2,10.1, IF(AZ161=3, 10.7, IF(AZ161=4, 9.38, IF(AZ161=5, 5.42, IF(AZ161=6, 3.09, IF(AZ161=7, 1.5, IF(AZ161=8, 1.5,""))))))))</f>
        <v/>
      </c>
      <c r="BB176" s="3" t="str">
        <f>IF((M$8=AX176),AW176,"")</f>
        <v/>
      </c>
      <c r="BC176" s="3" t="str">
        <f>IFERROR(SMALL(BB$175:BB$177,AW176),"")</f>
        <v/>
      </c>
      <c r="BD176" s="58">
        <v>301</v>
      </c>
      <c r="BE176" s="3" t="b">
        <f>IF(BC$175=AW176,IF(M$7=AX$26,M$10*BA176*45366, IF(M$7=AX$27, M$10*BA176*31130)))</f>
        <v>0</v>
      </c>
      <c r="BF176" s="3" t="b">
        <f>IF(BC$175=AW176,IF(M$7=AX$26,M$11*BA176*45366,IF(M$7=AX$27,M$11*BA176*31130)))</f>
        <v>0</v>
      </c>
      <c r="BG176" s="3">
        <f>(((BE176-BF176)/1000)*0.000001)*M6</f>
        <v>0</v>
      </c>
      <c r="BH176" s="2" t="s">
        <v>63</v>
      </c>
      <c r="BK176" s="2">
        <v>2</v>
      </c>
      <c r="BL176" s="6" t="s">
        <v>93</v>
      </c>
      <c r="BM176" s="5"/>
      <c r="BN176" s="4"/>
      <c r="BO176" s="3" t="str">
        <f>IF(BN161=1,5.9557, IF(BN161=2,10.1, IF(BN161=3, 10.7, IF(BN161=4, 9.38, IF(BN161=5, 5.42, IF(BN161=6, 3.09, IF(BN161=7, 1.5, IF(BN161=8, 1.5,""))))))))</f>
        <v/>
      </c>
      <c r="BP176" s="3" t="str">
        <f>IF((N$8=BL176),BK176,"")</f>
        <v/>
      </c>
      <c r="BQ176" s="3" t="str">
        <f>IFERROR(SMALL(BP$175:BP$177,BK176),"")</f>
        <v/>
      </c>
      <c r="BR176" s="58">
        <v>301</v>
      </c>
      <c r="BS176" s="3" t="b">
        <f>IF(BQ$175=BK176,IF(N$7=BL$26,N$10*BO176*45366,IF(N$7=BL$27,N$10*BO176*31130)))</f>
        <v>0</v>
      </c>
      <c r="BT176" s="3" t="b">
        <f>IF(BQ$175=BK176,IF(N$7=BL$26,N$11*BO176*45366,IF(N$7=BL$27,N$11*BO176*31130)))</f>
        <v>0</v>
      </c>
      <c r="BU176" s="3">
        <f>(((BS176-BT176)/1000)*0.000001)*$N$6</f>
        <v>0</v>
      </c>
      <c r="BV176" s="2">
        <v>2</v>
      </c>
      <c r="BW176" s="6" t="s">
        <v>93</v>
      </c>
      <c r="BX176" s="5"/>
      <c r="BY176" s="4"/>
      <c r="BZ176" s="3" t="str">
        <f>IF(BY161=1,5.9557, IF(BY161=2,10.1, IF(BY161=3, 10.7, IF(BY161=4, 9.38, IF(BY161=5, 5.42, IF(BY161=6, 3.09, IF(BY161=7, 1.5, IF(BY161=8, 1.5,""))))))))</f>
        <v/>
      </c>
      <c r="CA176" s="3" t="str">
        <f>IF((O$8=BW176),BV176,"")</f>
        <v/>
      </c>
      <c r="CB176" s="3" t="str">
        <f>IFERROR(SMALL(CA$175:CA$177,BV176),"")</f>
        <v/>
      </c>
      <c r="CC176" s="58">
        <v>301</v>
      </c>
      <c r="CD176" s="3" t="b">
        <f>IF(CB$175=BV176,IF(O$7=BW$26,O$10*BZ176*45366,IF(O$7=BW$27,O$10*BZ176*31130)))</f>
        <v>0</v>
      </c>
      <c r="CE176" s="3" t="b">
        <f>IF(CB$175=BV176,IF(O$7=BW$26,O$11*BZ176*45366,IF(O$7=BW$27,O$11*BZ176*31130)))</f>
        <v>0</v>
      </c>
      <c r="CF176" s="3">
        <f>(((CD176-CE176)/1000)*0.000001)*$O$6</f>
        <v>0</v>
      </c>
      <c r="CG176" s="2" t="s">
        <v>63</v>
      </c>
    </row>
    <row r="177" spans="6:85" hidden="1">
      <c r="F177" s="2">
        <v>3</v>
      </c>
      <c r="G177" s="6" t="s">
        <v>94</v>
      </c>
      <c r="H177" s="5"/>
      <c r="I177" s="4"/>
      <c r="J177" s="3">
        <f>IF(I161=1,4.66171, IF(I161=2, 8.1, IF(I161=3, 8.95, IF(I161=4, 7.51, IF(I161=5, 4.51, IF(I161=6, 2.57, IF(I161=7, 0.496, IF(I161=8, 0.496,""))))))))</f>
        <v>4.6617100000000002</v>
      </c>
      <c r="K177" s="3" t="str">
        <f>IF((J$8=G177),F177,"")</f>
        <v/>
      </c>
      <c r="L177" s="3" t="str">
        <f>IFERROR(SMALL(K$175:K$177,F177),"")</f>
        <v/>
      </c>
      <c r="M177" s="58">
        <v>247</v>
      </c>
      <c r="N177" s="3" t="b">
        <f>IF(L$175=F177,IF(J$7=G$26,J$10*J177*45366, IF(J$7=G$27, J$10*J177*31130)))</f>
        <v>0</v>
      </c>
      <c r="O177" s="3" t="b">
        <f>IF(L$175=F177,IF(J$7=G$26,J$11*J177*45366, IF(J$7=G$27, J$11*J177*31130)))</f>
        <v>0</v>
      </c>
      <c r="P177" s="3">
        <f>(((N177-O177)/1000)*0.000001)*J6</f>
        <v>0</v>
      </c>
      <c r="Q177" s="2" t="s">
        <v>63</v>
      </c>
      <c r="R177" s="2"/>
      <c r="S177" s="2"/>
      <c r="U177" s="2">
        <v>3</v>
      </c>
      <c r="V177" s="6" t="s">
        <v>94</v>
      </c>
      <c r="W177" s="5"/>
      <c r="X177" s="4"/>
      <c r="Y177" s="3" t="str">
        <f>IF(X161=1,4.66171, IF(X161=2, 8.1, IF(X161=3, 8.95, IF(X161=4, 7.51, IF(X161=5, 4.51, IF(X161=6, 2.57, IF(X161=7, 0.496, IF(X161=8, 0.496,""))))))))</f>
        <v/>
      </c>
      <c r="Z177" s="3" t="str">
        <f>IF((K$8=V177),U177,"")</f>
        <v/>
      </c>
      <c r="AA177" s="3" t="str">
        <f>IFERROR(SMALL(Z$175:Z$177,U177),"")</f>
        <v/>
      </c>
      <c r="AB177" s="58">
        <v>247</v>
      </c>
      <c r="AC177" s="3" t="b">
        <f>IF(AA$175=U177,IF(K$7=V$26, K$10*Y177*45366, IF(K$7=V$27, K$10*Y177*31130)))</f>
        <v>0</v>
      </c>
      <c r="AD177" s="3" t="b">
        <f>IF(AA$175=U177,IF(K$7=V$26,K$11*Y177*45366, IF(K$7=V$27, K$11*Y177*31130)))</f>
        <v>0</v>
      </c>
      <c r="AE177" s="3">
        <f>(((AC177-AD177)/1000)*0.000001)*$K$6</f>
        <v>0</v>
      </c>
      <c r="AF177" s="2" t="s">
        <v>63</v>
      </c>
      <c r="AG177" s="2"/>
      <c r="AH177" s="2"/>
      <c r="AI177" s="2">
        <v>3</v>
      </c>
      <c r="AJ177" s="6" t="s">
        <v>94</v>
      </c>
      <c r="AK177" s="5"/>
      <c r="AL177" s="4"/>
      <c r="AM177" s="3" t="str">
        <f>IF(AL161=1,4.66171, IF(AL161=2, 8.1, IF(AL161=3, 8.95, IF(AL161=4, 7.51, IF(AL161=5, 4.51, IF(AL161=6, 2.57, IF(AL161=7, 0.496, IF(AL161=8, 0.496,""))))))))</f>
        <v/>
      </c>
      <c r="AN177" s="3" t="str">
        <f>IF((L$8=AJ177),AI177,"")</f>
        <v/>
      </c>
      <c r="AO177" s="3" t="str">
        <f>IFERROR(SMALL(AN$175:AN$177,AI177),"")</f>
        <v/>
      </c>
      <c r="AP177" s="58">
        <v>247</v>
      </c>
      <c r="AQ177" s="3" t="b">
        <f>IF(AO$175=AI177, IF(L$7=AJ$26,L$10*AM177*45366, IF(L$7=AJ$27, L$10*AM177*31130)))</f>
        <v>0</v>
      </c>
      <c r="AR177" s="3" t="b">
        <f>IF(AO$175=AI177, IF(L$7=AJ$26,L$11*AM177*45366, IF(L$7=AJ$27,L$11*AM177*31130)))</f>
        <v>0</v>
      </c>
      <c r="AS177" s="3">
        <f>(((AQ177-AR177)/1000)*0.000001)*L6</f>
        <v>0</v>
      </c>
      <c r="AT177" s="2" t="s">
        <v>63</v>
      </c>
      <c r="AU177" s="2"/>
      <c r="AW177" s="2">
        <v>3</v>
      </c>
      <c r="AX177" s="6" t="s">
        <v>94</v>
      </c>
      <c r="AY177" s="5"/>
      <c r="AZ177" s="4"/>
      <c r="BA177" s="3" t="str">
        <f>IF(AZ161=1,4.66171, IF(AZ161=2, 8.1, IF(AZ161=3, 8.95, IF(AZ161=4, 7.51, IF(AZ161=5, 4.51, IF(AZ161=6, 2.57, IF(AZ161=7, 0.496, IF(AZ161=8, 0.496,""))))))))</f>
        <v/>
      </c>
      <c r="BB177" s="3" t="str">
        <f>IF((M$8=AX177),AW177,"")</f>
        <v/>
      </c>
      <c r="BC177" s="3" t="str">
        <f>IFERROR(SMALL(BB$175:BB$177,AW177),"")</f>
        <v/>
      </c>
      <c r="BD177" s="58">
        <v>247</v>
      </c>
      <c r="BE177" s="3" t="b">
        <f>IF(BC$175=AW177,IF(M$7=AX$26,M$10*BA177*45366, IF(M$7=AX$27, M$10*BA177*31130)))</f>
        <v>0</v>
      </c>
      <c r="BF177" s="3" t="b">
        <f>IF(BC$175=AW177,IF(M$7=AX$26,M$11*BA177*45366,IF(M$7=AX$27,M$11*BA177*31130)))</f>
        <v>0</v>
      </c>
      <c r="BG177" s="3">
        <f>(((BE177-BF177)/1000)*0.000001)*M6</f>
        <v>0</v>
      </c>
      <c r="BH177" s="2" t="s">
        <v>63</v>
      </c>
      <c r="BK177" s="2">
        <v>3</v>
      </c>
      <c r="BL177" s="6" t="s">
        <v>94</v>
      </c>
      <c r="BM177" s="5"/>
      <c r="BN177" s="4"/>
      <c r="BO177" s="3" t="str">
        <f>IF(BN161=1,4.66171, IF(BN161=2, 8.1, IF(BN161=3, 8.95, IF(BN161=4, 7.51, IF(BN161=5, 4.51, IF(BN161=6, 2.57, IF(BN161=7, 0.496, IF(BN161=8, 0.496,""))))))))</f>
        <v/>
      </c>
      <c r="BP177" s="3" t="str">
        <f>IF((N$8=BL177),BK177,"")</f>
        <v/>
      </c>
      <c r="BQ177" s="3" t="str">
        <f>IFERROR(SMALL(BP$175:BP$177,BK177),"")</f>
        <v/>
      </c>
      <c r="BR177" s="58">
        <v>247</v>
      </c>
      <c r="BS177" s="3" t="b">
        <f>IF(BQ$175=BK177,IF(N$7=BL$26,N$10*BO177*45366,IF(N$7=BL$27,N$10*BO177*31130)))</f>
        <v>0</v>
      </c>
      <c r="BT177" s="3" t="b">
        <f>IF(BQ$175=BK177,IF(N$7=BL$26,N$11*BO177*45366,IF(N$7=BL$27,N$11*BO177*31130)))</f>
        <v>0</v>
      </c>
      <c r="BU177" s="3">
        <f>(((BS177-BT177)/1000)*0.000001)*$N$6</f>
        <v>0</v>
      </c>
      <c r="BV177" s="2">
        <v>3</v>
      </c>
      <c r="BW177" s="6" t="s">
        <v>94</v>
      </c>
      <c r="BX177" s="5"/>
      <c r="BY177" s="4"/>
      <c r="BZ177" s="3" t="str">
        <f>IF(BY161=1,4.66171, IF(BY161=2, 8.1, IF(BY161=3, 8.95, IF(BY161=4, 7.51, IF(BY161=5, 4.51, IF(BY161=6, 2.57, IF(BY161=7, 0.496, IF(BY161=8, 0.496,""))))))))</f>
        <v/>
      </c>
      <c r="CA177" s="3" t="str">
        <f>IF((O$8=BW177),BV177,"")</f>
        <v/>
      </c>
      <c r="CB177" s="3" t="str">
        <f>IFERROR(SMALL(CA$175:CA$177,BV177),"")</f>
        <v/>
      </c>
      <c r="CC177" s="58">
        <v>247</v>
      </c>
      <c r="CD177" s="3" t="b">
        <f>IF(CB$175=BV177,IF(O$7=BW$26,O$10*BZ177*45366,IF(O$7=BW$27,O$10*BZ177*31130)))</f>
        <v>0</v>
      </c>
      <c r="CE177" s="3" t="b">
        <f>IF(CB$175=BV177,IF(O$7=BW$26,O$11*BZ177*45366,IF(O$7=BW$27,O$11*BZ177*31130)))</f>
        <v>0</v>
      </c>
      <c r="CF177" s="3">
        <f>(((CD177-CE177)/1000)*0.000001)*$O$6</f>
        <v>0</v>
      </c>
      <c r="CG177" s="2" t="s">
        <v>63</v>
      </c>
    </row>
    <row r="178" spans="6:85" hidden="1">
      <c r="F178" s="2"/>
      <c r="G178" s="2"/>
      <c r="H178" s="2"/>
      <c r="I178" s="2"/>
      <c r="J178" s="2"/>
      <c r="K178" s="2"/>
      <c r="L178" s="2"/>
      <c r="M178" s="2"/>
      <c r="N178" s="2"/>
      <c r="O178" s="2"/>
      <c r="P178" s="2"/>
      <c r="Q178" s="2"/>
      <c r="R178" s="2"/>
      <c r="S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W178" s="2"/>
      <c r="AX178" s="2"/>
      <c r="AY178" s="2"/>
      <c r="AZ178" s="2"/>
      <c r="BA178" s="2"/>
      <c r="BB178" s="2"/>
      <c r="BC178" s="2"/>
      <c r="BD178" s="2"/>
      <c r="BE178" s="2"/>
      <c r="BF178" s="2"/>
      <c r="BG178" s="2"/>
      <c r="BH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row>
    <row r="179" spans="6:85" hidden="1">
      <c r="F179" s="2"/>
      <c r="G179" s="2"/>
      <c r="H179" s="2"/>
      <c r="I179" s="2"/>
      <c r="J179" s="2"/>
      <c r="K179" s="2"/>
      <c r="L179" s="2"/>
      <c r="M179" s="2"/>
      <c r="N179" s="2"/>
      <c r="O179" s="2"/>
      <c r="P179" s="2"/>
      <c r="Q179" s="2"/>
      <c r="R179" s="2"/>
      <c r="S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W179" s="2"/>
      <c r="AX179" s="2"/>
      <c r="AY179" s="2"/>
      <c r="AZ179" s="2"/>
      <c r="BA179" s="2"/>
      <c r="BB179" s="2"/>
      <c r="BC179" s="2"/>
      <c r="BD179" s="2"/>
      <c r="BE179" s="2"/>
      <c r="BF179" s="2"/>
      <c r="BG179" s="2"/>
      <c r="BH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row>
    <row r="180" spans="6:85" hidden="1">
      <c r="F180" s="2"/>
      <c r="G180" s="2"/>
      <c r="H180" s="2"/>
      <c r="I180" s="2"/>
      <c r="J180" s="12" t="s">
        <v>57</v>
      </c>
      <c r="K180" s="2" t="s">
        <v>58</v>
      </c>
      <c r="L180" s="2" t="s">
        <v>58</v>
      </c>
      <c r="M180" s="12" t="s">
        <v>59</v>
      </c>
      <c r="N180" s="2" t="s">
        <v>60</v>
      </c>
      <c r="O180" s="2" t="s">
        <v>61</v>
      </c>
      <c r="P180" s="2" t="s">
        <v>62</v>
      </c>
      <c r="Q180" s="2"/>
      <c r="R180" s="2"/>
      <c r="S180" s="2"/>
      <c r="U180" s="2"/>
      <c r="V180" s="2"/>
      <c r="W180" s="2"/>
      <c r="X180" s="2"/>
      <c r="Y180" s="12" t="s">
        <v>57</v>
      </c>
      <c r="Z180" s="2" t="s">
        <v>58</v>
      </c>
      <c r="AA180" s="2" t="s">
        <v>58</v>
      </c>
      <c r="AB180" s="12" t="s">
        <v>59</v>
      </c>
      <c r="AC180" s="2" t="s">
        <v>60</v>
      </c>
      <c r="AD180" s="2" t="s">
        <v>61</v>
      </c>
      <c r="AE180" s="2" t="s">
        <v>62</v>
      </c>
      <c r="AF180" s="2"/>
      <c r="AG180" s="2"/>
      <c r="AH180" s="2"/>
      <c r="AI180" s="2"/>
      <c r="AJ180" s="2"/>
      <c r="AK180" s="2"/>
      <c r="AL180" s="2"/>
      <c r="AM180" s="12" t="s">
        <v>57</v>
      </c>
      <c r="AN180" s="2" t="s">
        <v>58</v>
      </c>
      <c r="AO180" s="2" t="s">
        <v>58</v>
      </c>
      <c r="AP180" s="12" t="s">
        <v>59</v>
      </c>
      <c r="AQ180" s="2" t="s">
        <v>60</v>
      </c>
      <c r="AR180" s="2" t="s">
        <v>61</v>
      </c>
      <c r="AS180" s="2" t="s">
        <v>62</v>
      </c>
      <c r="AT180" s="2"/>
      <c r="AU180" s="2"/>
      <c r="AW180" s="2"/>
      <c r="AX180" s="2"/>
      <c r="AY180" s="2"/>
      <c r="AZ180" s="2"/>
      <c r="BA180" s="12" t="s">
        <v>57</v>
      </c>
      <c r="BB180" s="2" t="s">
        <v>58</v>
      </c>
      <c r="BC180" s="2" t="s">
        <v>58</v>
      </c>
      <c r="BD180" s="12" t="s">
        <v>59</v>
      </c>
      <c r="BE180" s="2" t="s">
        <v>60</v>
      </c>
      <c r="BF180" s="2" t="s">
        <v>61</v>
      </c>
      <c r="BG180" s="2" t="s">
        <v>62</v>
      </c>
      <c r="BH180" s="2"/>
      <c r="BK180" s="2"/>
      <c r="BL180" s="2"/>
      <c r="BM180" s="2"/>
      <c r="BN180" s="2"/>
      <c r="BO180" s="12" t="s">
        <v>57</v>
      </c>
      <c r="BP180" s="2" t="s">
        <v>58</v>
      </c>
      <c r="BQ180" s="2" t="s">
        <v>58</v>
      </c>
      <c r="BR180" s="12" t="s">
        <v>59</v>
      </c>
      <c r="BS180" s="2" t="s">
        <v>60</v>
      </c>
      <c r="BT180" s="2" t="s">
        <v>61</v>
      </c>
      <c r="BU180" s="2" t="s">
        <v>62</v>
      </c>
      <c r="BV180" s="2"/>
      <c r="BW180" s="2"/>
      <c r="BX180" s="2"/>
      <c r="BY180" s="2"/>
      <c r="BZ180" s="12" t="s">
        <v>57</v>
      </c>
      <c r="CA180" s="2" t="s">
        <v>58</v>
      </c>
      <c r="CB180" s="2" t="s">
        <v>58</v>
      </c>
      <c r="CC180" s="12" t="s">
        <v>59</v>
      </c>
      <c r="CD180" s="2" t="s">
        <v>60</v>
      </c>
      <c r="CE180" s="2" t="s">
        <v>61</v>
      </c>
      <c r="CF180" s="2" t="s">
        <v>62</v>
      </c>
      <c r="CG180" s="2"/>
    </row>
    <row r="181" spans="6:85" hidden="1">
      <c r="F181" s="11">
        <v>1</v>
      </c>
      <c r="G181" s="10" t="s">
        <v>92</v>
      </c>
      <c r="H181" s="9"/>
      <c r="I181" s="8"/>
      <c r="J181" s="13"/>
      <c r="K181" s="7" t="str">
        <f>IF((J$8=G181),F181,"")</f>
        <v/>
      </c>
      <c r="L181" s="7" t="str">
        <f>IFERROR(SMALL(K$181:K$183,F181),"")</f>
        <v/>
      </c>
      <c r="M181" s="59">
        <v>495</v>
      </c>
      <c r="N181" s="7"/>
      <c r="O181" s="7"/>
      <c r="P181" s="7" t="s">
        <v>95</v>
      </c>
      <c r="Q181" s="2"/>
      <c r="R181" s="2"/>
      <c r="S181" s="2"/>
      <c r="U181" s="11">
        <v>1</v>
      </c>
      <c r="V181" s="10" t="s">
        <v>92</v>
      </c>
      <c r="W181" s="9"/>
      <c r="X181" s="8"/>
      <c r="Y181" s="13"/>
      <c r="Z181" s="7" t="str">
        <f>IF((K$8=V181),U181,"")</f>
        <v/>
      </c>
      <c r="AA181" s="7" t="str">
        <f>IFERROR(SMALL(Z$181:Z$183,U181),"")</f>
        <v/>
      </c>
      <c r="AB181" s="59">
        <v>495</v>
      </c>
      <c r="AC181" s="7"/>
      <c r="AD181" s="7"/>
      <c r="AE181" s="7" t="s">
        <v>95</v>
      </c>
      <c r="AF181" s="2"/>
      <c r="AG181" s="2"/>
      <c r="AH181" s="2"/>
      <c r="AI181" s="11">
        <v>1</v>
      </c>
      <c r="AJ181" s="10" t="s">
        <v>92</v>
      </c>
      <c r="AK181" s="9"/>
      <c r="AL181" s="8"/>
      <c r="AM181" s="13"/>
      <c r="AN181" s="7" t="str">
        <f>IF((L$8=AJ181),AI181,"")</f>
        <v/>
      </c>
      <c r="AO181" s="7" t="str">
        <f>IFERROR(SMALL(AN$181:AN$183,AI181),"")</f>
        <v/>
      </c>
      <c r="AP181" s="59">
        <v>495</v>
      </c>
      <c r="AQ181" s="7"/>
      <c r="AR181" s="7"/>
      <c r="AS181" s="7" t="s">
        <v>95</v>
      </c>
      <c r="AT181" s="2"/>
      <c r="AU181" s="2"/>
      <c r="AW181" s="11">
        <v>1</v>
      </c>
      <c r="AX181" s="10" t="s">
        <v>92</v>
      </c>
      <c r="AY181" s="9"/>
      <c r="AZ181" s="8"/>
      <c r="BA181" s="13"/>
      <c r="BB181" s="7" t="str">
        <f>IF((M$8=AX181),AW181,"")</f>
        <v/>
      </c>
      <c r="BC181" s="7" t="str">
        <f>IFERROR(SMALL(BB$181:BB$183,AW181),"")</f>
        <v/>
      </c>
      <c r="BD181" s="59">
        <v>495</v>
      </c>
      <c r="BE181" s="7"/>
      <c r="BF181" s="7"/>
      <c r="BG181" s="7" t="s">
        <v>95</v>
      </c>
      <c r="BH181" s="2"/>
      <c r="BK181" s="11">
        <v>1</v>
      </c>
      <c r="BL181" s="10" t="s">
        <v>92</v>
      </c>
      <c r="BM181" s="9"/>
      <c r="BN181" s="8"/>
      <c r="BO181" s="13"/>
      <c r="BP181" s="7" t="str">
        <f>IF((N$8=BL181),BK181,"")</f>
        <v/>
      </c>
      <c r="BQ181" s="7" t="str">
        <f>IFERROR(SMALL(BP$181:BP$183,BK181),"")</f>
        <v/>
      </c>
      <c r="BR181" s="59">
        <v>495</v>
      </c>
      <c r="BS181" s="7"/>
      <c r="BT181" s="7"/>
      <c r="BU181" s="7" t="s">
        <v>95</v>
      </c>
      <c r="BV181" s="11">
        <v>1</v>
      </c>
      <c r="BW181" s="10" t="s">
        <v>92</v>
      </c>
      <c r="BX181" s="9"/>
      <c r="BY181" s="8"/>
      <c r="BZ181" s="13"/>
      <c r="CA181" s="7" t="str">
        <f>IF((O$8=BW181),BV181,"")</f>
        <v/>
      </c>
      <c r="CB181" s="7" t="str">
        <f>IFERROR(SMALL(CA$181:CA$183,BV181),"")</f>
        <v/>
      </c>
      <c r="CC181" s="59">
        <v>495</v>
      </c>
      <c r="CD181" s="7"/>
      <c r="CE181" s="7"/>
      <c r="CF181" s="7" t="s">
        <v>95</v>
      </c>
      <c r="CG181" s="2"/>
    </row>
    <row r="182" spans="6:85" hidden="1">
      <c r="F182" s="2">
        <v>2</v>
      </c>
      <c r="G182" s="6" t="s">
        <v>93</v>
      </c>
      <c r="H182" s="5"/>
      <c r="I182" s="4"/>
      <c r="J182" s="3">
        <f>IF(I161=1,0.0058, IF(I161=2, 0.0029, IF(I161=3, 0.0029, IF(I161=4,0.0029, IF(I161=5, 0.0029, IF(I161=6, 0.011, IF(I161=7, 0.009, IF(I161=8, 0.009,""))))))))</f>
        <v>5.7999999999999996E-3</v>
      </c>
      <c r="K182" s="3" t="str">
        <f>IF((J$8=G182),F182,"")</f>
        <v/>
      </c>
      <c r="L182" s="3" t="str">
        <f>IFERROR(SMALL(K$181:K$183,F182),"")</f>
        <v/>
      </c>
      <c r="M182" s="58">
        <v>301</v>
      </c>
      <c r="N182" s="3" t="b">
        <f>IF(L$181=F182,IF(J$7=G$26,J$10*J182*45366, IF(J$7=G$27, J$10*J182*31130)))</f>
        <v>0</v>
      </c>
      <c r="O182" s="3" t="b">
        <f>IF(L$181=F182, IF(J$7=G$26,J$11*J182*45366, IF(J$7=G$27, J$11*J182*31130)))</f>
        <v>0</v>
      </c>
      <c r="P182" s="3">
        <f>(((N182-O182)/1000)*0.000001)*$J$6</f>
        <v>0</v>
      </c>
      <c r="Q182" s="2" t="s">
        <v>63</v>
      </c>
      <c r="R182" s="2"/>
      <c r="S182" s="2"/>
      <c r="U182" s="2">
        <v>2</v>
      </c>
      <c r="V182" s="6" t="s">
        <v>93</v>
      </c>
      <c r="W182" s="5"/>
      <c r="X182" s="4"/>
      <c r="Y182" s="3" t="str">
        <f>IF(X161=1,0.0058, IF(X161=2, 0.0029, IF(X161=3, 0.0029, IF(X161=4,0.0029, IF(X161=5, 0.0029, IF(X161=6, 0.011, IF(X161=7, 0.009, IF(X161=8, 0.009,""))))))))</f>
        <v/>
      </c>
      <c r="Z182" s="3" t="str">
        <f>IF((K$8=V182),U182,"")</f>
        <v/>
      </c>
      <c r="AA182" s="3" t="str">
        <f>IFERROR(SMALL(Z$181:Z$183,U182),"")</f>
        <v/>
      </c>
      <c r="AB182" s="58">
        <v>301</v>
      </c>
      <c r="AC182" s="3" t="b">
        <f>IF(AA$181=U182,IF(K$7=V$26,K$10*Y182*45366,IF(K$7=V$27,K$10*Y182*31130)))</f>
        <v>0</v>
      </c>
      <c r="AD182" s="3" t="b">
        <f>IF(AA$181=U182, IF(K$7=V$26,K$11*Y182*45366,IF(K$7=V$27,K$11*Y182*31130)))</f>
        <v>0</v>
      </c>
      <c r="AE182" s="3">
        <f>(((AC182-AD182)/1000)*0.000001)*$K$6</f>
        <v>0</v>
      </c>
      <c r="AF182" s="2" t="s">
        <v>63</v>
      </c>
      <c r="AG182" s="2"/>
      <c r="AH182" s="2"/>
      <c r="AI182" s="2">
        <v>2</v>
      </c>
      <c r="AJ182" s="6" t="s">
        <v>93</v>
      </c>
      <c r="AK182" s="5"/>
      <c r="AL182" s="4"/>
      <c r="AM182" s="3" t="str">
        <f>IF(AL161=1,0.0058, IF(AL161=2, 0.0029, IF(AL161=3, 0.0029, IF(AL161=4,0.0029, IF(AL161=5, 0.0029, IF(AL161=6, 0.011, IF(AL161=7, 0.009, IF(AL161=8, 0.009,""))))))))</f>
        <v/>
      </c>
      <c r="AN182" s="3" t="str">
        <f>IF((L$8=AJ182),AI182,"")</f>
        <v/>
      </c>
      <c r="AO182" s="3" t="str">
        <f>IFERROR(SMALL(AN$181:AN$183,AI182),"")</f>
        <v/>
      </c>
      <c r="AP182" s="58">
        <v>301</v>
      </c>
      <c r="AQ182" s="3" t="b">
        <f>IF(AO$181=AI182,IF(L$7=AJ$26,L$10*AM182*45366, IF(L$7=AJ$27,L$10*AM182*31130)))</f>
        <v>0</v>
      </c>
      <c r="AR182" s="3" t="b">
        <f>IF(AO$181=AI182,IF(L$7=AJ$26,L$11*AM182*45366,IF(L$7=AJ$27,L$11*AM182*31130)))</f>
        <v>0</v>
      </c>
      <c r="AS182" s="3">
        <f>(((AQ182-AR182)/1000)*0.000001)*L6</f>
        <v>0</v>
      </c>
      <c r="AT182" s="2" t="s">
        <v>63</v>
      </c>
      <c r="AU182" s="2"/>
      <c r="AW182" s="2">
        <v>2</v>
      </c>
      <c r="AX182" s="6" t="s">
        <v>93</v>
      </c>
      <c r="AY182" s="5"/>
      <c r="AZ182" s="4"/>
      <c r="BA182" s="3" t="str">
        <f>IF(AZ161=1,0.0058, IF(AZ161=2, 0.0029, IF(AZ161=3, 0.0029, IF(AZ161=4,0.0029, IF(AZ161=5, 0.0029, IF(AZ161=6, 0.011, IF(AZ161=7, 0.009, IF(AZ161=8, 0.009,""))))))))</f>
        <v/>
      </c>
      <c r="BB182" s="3" t="str">
        <f>IF((M$8=AX182),AW182,"")</f>
        <v/>
      </c>
      <c r="BC182" s="3" t="str">
        <f>IFERROR(SMALL(BB$181:BB$183,AW182),"")</f>
        <v/>
      </c>
      <c r="BD182" s="58">
        <v>301</v>
      </c>
      <c r="BE182" s="3" t="b">
        <f>IF(BC$181=AW182,IF(M$7=AX$26,M$10*BA182*45366,IF(M$7=AX$27,M$10*BA182*31130)))</f>
        <v>0</v>
      </c>
      <c r="BF182" s="3" t="b">
        <f>IF(BC$181=AW182,IF(M$7=AX$26,M$11*BA182*45366,IF(M$7=AX$27,M$11*BA182*31130)))</f>
        <v>0</v>
      </c>
      <c r="BG182" s="3">
        <f>(((BE182-BF182)/1000)*0.000001)*M6</f>
        <v>0</v>
      </c>
      <c r="BH182" s="2" t="s">
        <v>63</v>
      </c>
      <c r="BK182" s="2">
        <v>2</v>
      </c>
      <c r="BL182" s="6" t="s">
        <v>93</v>
      </c>
      <c r="BM182" s="5"/>
      <c r="BN182" s="4"/>
      <c r="BO182" s="3" t="str">
        <f>IF(BN161=1,0.0058, IF(BN161=2, 0.0029, IF(BN161=3, 0.0029, IF(BN161=4,0.0029, IF(BN161=5, 0.0029, IF(BN161=6, 0.011, IF(BN161=7, 0.009, IF(BN161=8, 0.009,""))))))))</f>
        <v/>
      </c>
      <c r="BP182" s="3" t="str">
        <f>IF((N$8=BL182),BK182,"")</f>
        <v/>
      </c>
      <c r="BQ182" s="3" t="str">
        <f>IFERROR(SMALL(BP$181:BP$183,BK182),"")</f>
        <v/>
      </c>
      <c r="BR182" s="58">
        <v>301</v>
      </c>
      <c r="BS182" s="3" t="b">
        <f>IF(BQ$181=BK182,IF(N$7=BL$26,N$10*BO182*45366,IF(N$7=BL$27,N$10*BO182*31130)))</f>
        <v>0</v>
      </c>
      <c r="BT182" s="3" t="b">
        <f>IF(BQ$181=BK182,IF(N$7=BL$26,N$11*BO182*45366,IF(N$7=BL$27,N$11*BO182*31130)))</f>
        <v>0</v>
      </c>
      <c r="BU182" s="3">
        <f>(((BS182-BT182)/1000)*0.000001)*$N$6</f>
        <v>0</v>
      </c>
      <c r="BV182" s="2">
        <v>2</v>
      </c>
      <c r="BW182" s="6" t="s">
        <v>93</v>
      </c>
      <c r="BX182" s="5"/>
      <c r="BY182" s="4"/>
      <c r="BZ182" s="3" t="str">
        <f>IF(BY161=1,0.0058, IF(BY161=2, 0.0029, IF(BY161=3, 0.0029, IF(BY161=4,0.0029, IF(BY161=5, 0.0029, IF(BY161=6, 0.011, IF(BY161=7, 0.009, IF(BY161=8, 0.009,""))))))))</f>
        <v/>
      </c>
      <c r="CA182" s="3" t="str">
        <f>IF((O$8=BW182),BV182,"")</f>
        <v/>
      </c>
      <c r="CB182" s="3" t="str">
        <f>IFERROR(SMALL(CA$181:CA$183,BV182),"")</f>
        <v/>
      </c>
      <c r="CC182" s="58">
        <v>301</v>
      </c>
      <c r="CD182" s="3" t="b">
        <f>IF(CB$181=BV182,IF(O$7=BW$26,O$10*BZ182*45366,IF(O$7=BW$27,O$10*BZ182*31130)))</f>
        <v>0</v>
      </c>
      <c r="CE182" s="3" t="b">
        <f>IF(CB$181=BV182,IF(O$7=BW$26,O$11*BZ182*45366,IF(O$7=BW$27,O$11*BZ182*31130)))</f>
        <v>0</v>
      </c>
      <c r="CF182" s="3">
        <f>(((CD182-CE182)/1000)*0.000001)*$O$6</f>
        <v>0</v>
      </c>
      <c r="CG182" s="2" t="s">
        <v>63</v>
      </c>
    </row>
    <row r="183" spans="6:85" hidden="1">
      <c r="F183" s="2">
        <v>3</v>
      </c>
      <c r="G183" s="6" t="s">
        <v>94</v>
      </c>
      <c r="H183" s="5"/>
      <c r="I183" s="4"/>
      <c r="J183" s="3">
        <f>IF(I161=1,0.0058, IF(I161=2, 0.0029, IF(I161=3, 0.0029, IF(I161=4, 0.0029, IF(I161=5, 0.0029, IF(I161=6, 0.011, IF(I161=7, 0.009, IF(I161=8, 0.009, ""))))))))</f>
        <v>5.7999999999999996E-3</v>
      </c>
      <c r="K183" s="3" t="str">
        <f>IF((J$8=G183),F183,"")</f>
        <v/>
      </c>
      <c r="L183" s="3" t="str">
        <f>IFERROR(SMALL(K$181:K$183,F183),"")</f>
        <v/>
      </c>
      <c r="M183" s="58">
        <v>247</v>
      </c>
      <c r="N183" s="3" t="b">
        <f>IF(L$181=F183,IF(J$7=G$26,J$10*J183*45366, IF(J$7=G$27, J$10*J183*31130)))</f>
        <v>0</v>
      </c>
      <c r="O183" s="3" t="b">
        <f>IF(L$181=F183, IF(J$7=G$26,J$11*J183*45366, IF(J$7=G$27, J$11*J183*31130)))</f>
        <v>0</v>
      </c>
      <c r="P183" s="3">
        <f>(((N183-O183)/1000)*0.000001)*$J$6</f>
        <v>0</v>
      </c>
      <c r="Q183" s="2" t="s">
        <v>63</v>
      </c>
      <c r="R183" s="2"/>
      <c r="S183" s="2"/>
      <c r="U183" s="2">
        <v>3</v>
      </c>
      <c r="V183" s="6" t="s">
        <v>94</v>
      </c>
      <c r="W183" s="5"/>
      <c r="X183" s="4"/>
      <c r="Y183" s="3" t="str">
        <f>IF(X161=1,0.0058, IF(X161=2, 0.0029, IF(X161=3, 0.0029, IF(X161=4, 0.0029, IF(X161=5, 0.0029, IF(X161=6, 0.011, IF(X161=7, 0.009, IF(X161=8, 0.009, ""))))))))</f>
        <v/>
      </c>
      <c r="Z183" s="3" t="str">
        <f>IF((K$8=V183),U183,"")</f>
        <v/>
      </c>
      <c r="AA183" s="3" t="str">
        <f>IFERROR(SMALL(Z$181:Z$183,U183),"")</f>
        <v/>
      </c>
      <c r="AB183" s="58">
        <v>247</v>
      </c>
      <c r="AC183" s="3" t="b">
        <f>IF(AA$181=U183,IF(K$7=V$26,K$10*Y183*45366,IF(K$7=V$27,K$10*Y183*31130)))</f>
        <v>0</v>
      </c>
      <c r="AD183" s="3" t="b">
        <f>IF(AA$181=U183, IF(K$7=V$26,K$11*Y183*45366,IF(K$7=V$27,K$11*Y183*31130)))</f>
        <v>0</v>
      </c>
      <c r="AE183" s="3">
        <f>(((AC183-AD183)/1000)*0.000001)*$K$6</f>
        <v>0</v>
      </c>
      <c r="AF183" s="2" t="s">
        <v>63</v>
      </c>
      <c r="AG183" s="2"/>
      <c r="AH183" s="2"/>
      <c r="AI183" s="2">
        <v>3</v>
      </c>
      <c r="AJ183" s="6" t="s">
        <v>94</v>
      </c>
      <c r="AK183" s="5"/>
      <c r="AL183" s="4"/>
      <c r="AM183" s="3" t="str">
        <f>IF(AL161=1,0.0058, IF(AL161=2, 0.0029, IF(AL161=3, 0.0029, IF(AL161=4, 0.0029, IF(AL161=5, 0.0029, IF(AL161=6, 0.011, IF(AL161=7, 0.009, IF(AL161=8, 0.009, ""))))))))</f>
        <v/>
      </c>
      <c r="AN183" s="3" t="str">
        <f>IF((L$8=AJ183),AI183,"")</f>
        <v/>
      </c>
      <c r="AO183" s="3" t="str">
        <f>IFERROR(SMALL(AN$181:AN$183,AI183),"")</f>
        <v/>
      </c>
      <c r="AP183" s="58">
        <v>247</v>
      </c>
      <c r="AQ183" s="3" t="b">
        <f>IF(AO$181=AI183,IF(L$7=AJ$26,L$10*AM183*45366, IF(L$7=AJ$27,L$10*AM183*31130)))</f>
        <v>0</v>
      </c>
      <c r="AR183" s="3" t="b">
        <f>IF(AO$181=AI183,IF(L$7=AJ$26,L$11*AM183*45366,IF(L$7=AJ$27,L$11*AM183*31130)))</f>
        <v>0</v>
      </c>
      <c r="AS183" s="3">
        <f>(((AQ183-AR183)/1000)*0.000001)*L6</f>
        <v>0</v>
      </c>
      <c r="AT183" s="2" t="s">
        <v>63</v>
      </c>
      <c r="AU183" s="2"/>
      <c r="AW183" s="2">
        <v>3</v>
      </c>
      <c r="AX183" s="6" t="s">
        <v>94</v>
      </c>
      <c r="AY183" s="5"/>
      <c r="AZ183" s="4"/>
      <c r="BA183" s="3" t="str">
        <f>IF(AZ161=1,0.0058, IF(AZ161=2, 0.0029, IF(AZ161=3, 0.0029, IF(AZ161=4, 0.0029, IF(AZ161=5, 0.0029, IF(AZ161=6, 0.011, IF(AZ161=7, 0.009, IF(AZ161=8, 0.009, ""))))))))</f>
        <v/>
      </c>
      <c r="BB183" s="3" t="str">
        <f>IF((M$8=AX183),AW183,"")</f>
        <v/>
      </c>
      <c r="BC183" s="3" t="str">
        <f>IFERROR(SMALL(BB$181:BB$183,AW183),"")</f>
        <v/>
      </c>
      <c r="BD183" s="58">
        <v>247</v>
      </c>
      <c r="BE183" s="3" t="b">
        <f>IF(BC$181=AW183,IF(M$7=AX$26,M$10*BA183*45366,IF(M$7=AX$27,M$10*BA183*31130)))</f>
        <v>0</v>
      </c>
      <c r="BF183" s="3" t="b">
        <f>IF(BC$181=AW183,IF(M$7=AX$26,M$11*BA183*45366,IF(M$7=AX$27,M$11*BA183*31130)))</f>
        <v>0</v>
      </c>
      <c r="BG183" s="3">
        <f>(((BE183-BF183)/1000)*0.000001)*M6</f>
        <v>0</v>
      </c>
      <c r="BH183" s="2" t="s">
        <v>63</v>
      </c>
      <c r="BK183" s="2">
        <v>3</v>
      </c>
      <c r="BL183" s="6" t="s">
        <v>94</v>
      </c>
      <c r="BM183" s="5"/>
      <c r="BN183" s="4"/>
      <c r="BO183" s="3" t="str">
        <f>IF(BN161=1,0.0058, IF(BN161=2, 0.0029, IF(BN161=3, 0.0029, IF(BN161=4, 0.0029, IF(BN161=5, 0.0029, IF(BN161=6, 0.011, IF(BN161=7, 0.009, IF(BN161=8, 0.009, ""))))))))</f>
        <v/>
      </c>
      <c r="BP183" s="3" t="str">
        <f>IF((N$8=BL183),BK183,"")</f>
        <v/>
      </c>
      <c r="BQ183" s="3" t="str">
        <f>IFERROR(SMALL(BP$181:BP$183,BK183),"")</f>
        <v/>
      </c>
      <c r="BR183" s="58">
        <v>247</v>
      </c>
      <c r="BS183" s="3" t="b">
        <f>IF(BQ$181=BK183,IF(N$7=BL$26,N$10*BO183*45366,IF(N$7=BL$27,N$10*BO183*31130)))</f>
        <v>0</v>
      </c>
      <c r="BT183" s="3" t="b">
        <f>IF(BQ$181=BK183,IF(N$7=BL$26,N$11*BO183*45366,IF(N$7=BL$27,N$11*BO183*31130)))</f>
        <v>0</v>
      </c>
      <c r="BU183" s="3">
        <f>(((BS183-BT183)/1000)*0.000001)*$N$6</f>
        <v>0</v>
      </c>
      <c r="BV183" s="2">
        <v>3</v>
      </c>
      <c r="BW183" s="6" t="s">
        <v>94</v>
      </c>
      <c r="BX183" s="5"/>
      <c r="BY183" s="4"/>
      <c r="BZ183" s="3" t="str">
        <f>IF(BY161=1,0.0058, IF(BY161=2, 0.0029, IF(BY161=3, 0.0029, IF(BY161=4, 0.0029, IF(BY161=5, 0.0029, IF(BY161=6, 0.011, IF(BY161=7, 0.009, IF(BY161=8, 0.009, ""))))))))</f>
        <v/>
      </c>
      <c r="CA183" s="3" t="str">
        <f>IF((O$8=BW183),BV183,"")</f>
        <v/>
      </c>
      <c r="CB183" s="3" t="str">
        <f>IFERROR(SMALL(CA$181:CA$183,BV183),"")</f>
        <v/>
      </c>
      <c r="CC183" s="58">
        <v>247</v>
      </c>
      <c r="CD183" s="3" t="b">
        <f>IF(CB$181=BV183,IF(O$7=BW$26,O$10*BZ183*45366,IF(O$7=BW$27,O$10*BZ183*31130)))</f>
        <v>0</v>
      </c>
      <c r="CE183" s="3" t="b">
        <f>IF(CB$181=BV183,IF(O$7=BW$26,O$11*BZ183*45366,IF(O$7=BW$27,O$11*BZ183*31130)))</f>
        <v>0</v>
      </c>
      <c r="CF183" s="3">
        <f>(((CD183-CE183)/1000)*0.000001)*$O$6</f>
        <v>0</v>
      </c>
      <c r="CG183" s="2" t="s">
        <v>63</v>
      </c>
    </row>
    <row r="184" spans="6:85" hidden="1">
      <c r="F184" s="2"/>
      <c r="G184" s="2"/>
      <c r="H184" s="2"/>
      <c r="I184" s="2"/>
      <c r="J184" s="2"/>
      <c r="K184" s="2"/>
      <c r="L184" s="2"/>
      <c r="M184" s="2"/>
      <c r="N184" s="2"/>
      <c r="O184" s="2"/>
      <c r="P184" s="2"/>
      <c r="Q184" s="2"/>
      <c r="R184" s="2"/>
      <c r="S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W184" s="2"/>
      <c r="AX184" s="2"/>
      <c r="AY184" s="2"/>
      <c r="AZ184" s="2"/>
      <c r="BA184" s="2"/>
      <c r="BB184" s="2"/>
      <c r="BC184" s="2"/>
      <c r="BD184" s="2"/>
      <c r="BE184" s="2"/>
      <c r="BF184" s="2"/>
      <c r="BG184" s="2"/>
      <c r="BH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row>
    <row r="185" spans="6:85" hidden="1">
      <c r="F185" s="2"/>
      <c r="G185" s="2"/>
      <c r="H185" s="2"/>
      <c r="I185" s="2"/>
      <c r="J185" s="12" t="s">
        <v>71</v>
      </c>
      <c r="K185" s="2" t="s">
        <v>58</v>
      </c>
      <c r="L185" s="2" t="s">
        <v>58</v>
      </c>
      <c r="M185" s="12" t="s">
        <v>59</v>
      </c>
      <c r="N185" s="2" t="s">
        <v>60</v>
      </c>
      <c r="O185" s="2" t="s">
        <v>61</v>
      </c>
      <c r="P185" s="2" t="s">
        <v>62</v>
      </c>
      <c r="Q185" s="2"/>
      <c r="R185" s="2"/>
      <c r="S185" s="2"/>
      <c r="U185" s="2"/>
      <c r="V185" s="2"/>
      <c r="W185" s="2"/>
      <c r="X185" s="2"/>
      <c r="Y185" s="12" t="s">
        <v>71</v>
      </c>
      <c r="Z185" s="2" t="s">
        <v>58</v>
      </c>
      <c r="AA185" s="2" t="s">
        <v>58</v>
      </c>
      <c r="AB185" s="12" t="s">
        <v>59</v>
      </c>
      <c r="AC185" s="2" t="s">
        <v>60</v>
      </c>
      <c r="AD185" s="2" t="s">
        <v>61</v>
      </c>
      <c r="AE185" s="2" t="s">
        <v>62</v>
      </c>
      <c r="AF185" s="2"/>
      <c r="AG185" s="2"/>
      <c r="AH185" s="2"/>
      <c r="AI185" s="2"/>
      <c r="AJ185" s="2"/>
      <c r="AK185" s="2"/>
      <c r="AL185" s="2"/>
      <c r="AM185" s="12" t="s">
        <v>71</v>
      </c>
      <c r="AN185" s="2" t="s">
        <v>58</v>
      </c>
      <c r="AO185" s="2" t="s">
        <v>58</v>
      </c>
      <c r="AP185" s="12" t="s">
        <v>59</v>
      </c>
      <c r="AQ185" s="2" t="s">
        <v>60</v>
      </c>
      <c r="AR185" s="2" t="s">
        <v>61</v>
      </c>
      <c r="AS185" s="2" t="s">
        <v>62</v>
      </c>
      <c r="AT185" s="2"/>
      <c r="AU185" s="2"/>
      <c r="AW185" s="2"/>
      <c r="AX185" s="2"/>
      <c r="AY185" s="2"/>
      <c r="AZ185" s="2"/>
      <c r="BA185" s="12" t="s">
        <v>71</v>
      </c>
      <c r="BB185" s="2" t="s">
        <v>58</v>
      </c>
      <c r="BC185" s="2" t="s">
        <v>58</v>
      </c>
      <c r="BD185" s="12" t="s">
        <v>59</v>
      </c>
      <c r="BE185" s="2" t="s">
        <v>60</v>
      </c>
      <c r="BF185" s="2" t="s">
        <v>61</v>
      </c>
      <c r="BG185" s="2" t="s">
        <v>62</v>
      </c>
      <c r="BH185" s="2"/>
      <c r="BK185" s="2"/>
      <c r="BL185" s="2"/>
      <c r="BM185" s="2"/>
      <c r="BN185" s="2"/>
      <c r="BO185" s="12" t="s">
        <v>71</v>
      </c>
      <c r="BP185" s="2" t="s">
        <v>58</v>
      </c>
      <c r="BQ185" s="2" t="s">
        <v>58</v>
      </c>
      <c r="BR185" s="12" t="s">
        <v>59</v>
      </c>
      <c r="BS185" s="2" t="s">
        <v>60</v>
      </c>
      <c r="BT185" s="2" t="s">
        <v>61</v>
      </c>
      <c r="BU185" s="2" t="s">
        <v>62</v>
      </c>
      <c r="BV185" s="2"/>
      <c r="BW185" s="2"/>
      <c r="BX185" s="2"/>
      <c r="BY185" s="2"/>
      <c r="BZ185" s="12" t="s">
        <v>71</v>
      </c>
      <c r="CA185" s="2" t="s">
        <v>58</v>
      </c>
      <c r="CB185" s="2" t="s">
        <v>58</v>
      </c>
      <c r="CC185" s="12" t="s">
        <v>59</v>
      </c>
      <c r="CD185" s="2" t="s">
        <v>60</v>
      </c>
      <c r="CE185" s="2" t="s">
        <v>61</v>
      </c>
      <c r="CF185" s="2" t="s">
        <v>62</v>
      </c>
      <c r="CG185" s="2"/>
    </row>
    <row r="186" spans="6:85" hidden="1">
      <c r="F186" s="11">
        <v>1</v>
      </c>
      <c r="G186" s="10" t="s">
        <v>92</v>
      </c>
      <c r="H186" s="9"/>
      <c r="I186" s="8"/>
      <c r="J186" s="7">
        <v>1.125E-2</v>
      </c>
      <c r="K186" s="7" t="str">
        <f>IF((J$8=G186),F186,"")</f>
        <v/>
      </c>
      <c r="L186" s="7" t="str">
        <f>IFERROR(SMALL(K$186:K$188,F186),"")</f>
        <v/>
      </c>
      <c r="M186" s="59">
        <v>495</v>
      </c>
      <c r="N186" s="7" t="b">
        <f>IF(L$186=F186,J$10*(M186*J186))</f>
        <v>0</v>
      </c>
      <c r="O186" s="7" t="b">
        <f>IF(L$186=F186,J$11*(M186*J186))</f>
        <v>0</v>
      </c>
      <c r="P186" s="7">
        <f>N186-O186</f>
        <v>0</v>
      </c>
      <c r="Q186" s="2"/>
      <c r="R186" s="2"/>
      <c r="S186" s="2"/>
      <c r="U186" s="11">
        <v>1</v>
      </c>
      <c r="V186" s="10" t="s">
        <v>92</v>
      </c>
      <c r="W186" s="9"/>
      <c r="X186" s="8"/>
      <c r="Y186" s="7">
        <v>1.125E-2</v>
      </c>
      <c r="Z186" s="7" t="str">
        <f>IF((K$8=V186),U186,"")</f>
        <v/>
      </c>
      <c r="AA186" s="7" t="str">
        <f>IFERROR(SMALL(Z$186:Z$188,U186),"")</f>
        <v/>
      </c>
      <c r="AB186" s="59">
        <v>495</v>
      </c>
      <c r="AC186" s="7" t="b">
        <f>IF(AA$186=U186,K$10*(AB186*Y186))</f>
        <v>0</v>
      </c>
      <c r="AD186" s="7" t="b">
        <f>IF(AA$186=U186,K$11*(AB186*Y186))</f>
        <v>0</v>
      </c>
      <c r="AE186" s="7">
        <f>AC186-AD186</f>
        <v>0</v>
      </c>
      <c r="AF186" s="2"/>
      <c r="AG186" s="2"/>
      <c r="AH186" s="2"/>
      <c r="AI186" s="11">
        <v>1</v>
      </c>
      <c r="AJ186" s="10" t="s">
        <v>92</v>
      </c>
      <c r="AK186" s="9"/>
      <c r="AL186" s="8"/>
      <c r="AM186" s="7">
        <v>1.125E-2</v>
      </c>
      <c r="AN186" s="7" t="str">
        <f>IF((L$8=AJ186),AI186,"")</f>
        <v/>
      </c>
      <c r="AO186" s="7" t="str">
        <f>IFERROR(SMALL(AN$186:AN$188,AI186),"")</f>
        <v/>
      </c>
      <c r="AP186" s="59">
        <v>495</v>
      </c>
      <c r="AQ186" s="7" t="b">
        <f>IF(AO$186=AI186,L$10*(AP186*AM186))</f>
        <v>0</v>
      </c>
      <c r="AR186" s="7" t="b">
        <f>IF(AO$186=AI186,L$11*(AP186*AM186))</f>
        <v>0</v>
      </c>
      <c r="AS186" s="7">
        <f>AQ186-AR186</f>
        <v>0</v>
      </c>
      <c r="AT186" s="2"/>
      <c r="AU186" s="2"/>
      <c r="AW186" s="11">
        <v>1</v>
      </c>
      <c r="AX186" s="10" t="s">
        <v>92</v>
      </c>
      <c r="AY186" s="9"/>
      <c r="AZ186" s="8"/>
      <c r="BA186" s="7">
        <v>1.125E-2</v>
      </c>
      <c r="BB186" s="7" t="str">
        <f>IF((M$8=AX186),AW186,"")</f>
        <v/>
      </c>
      <c r="BC186" s="7" t="str">
        <f>IFERROR(SMALL(BB$186:BB$188,AW186),"")</f>
        <v/>
      </c>
      <c r="BD186" s="59">
        <v>495</v>
      </c>
      <c r="BE186" s="7" t="b">
        <f>IF(BC$186=AW186,M$10*(BD186*BA186))</f>
        <v>0</v>
      </c>
      <c r="BF186" s="7" t="b">
        <f>IF(BC$186=AW186,M$11*(BD186*BA186))</f>
        <v>0</v>
      </c>
      <c r="BG186" s="7">
        <f>BE186-BF186</f>
        <v>0</v>
      </c>
      <c r="BH186" s="2"/>
      <c r="BK186" s="11">
        <v>1</v>
      </c>
      <c r="BL186" s="10" t="s">
        <v>92</v>
      </c>
      <c r="BM186" s="9"/>
      <c r="BN186" s="8"/>
      <c r="BO186" s="7">
        <v>1.125E-2</v>
      </c>
      <c r="BP186" s="7" t="str">
        <f>IF((N$8=BL186),BK186,"")</f>
        <v/>
      </c>
      <c r="BQ186" s="7" t="str">
        <f>IFERROR(SMALL(BP$186:BP$188,BK186),"")</f>
        <v/>
      </c>
      <c r="BR186" s="59">
        <v>495</v>
      </c>
      <c r="BS186" s="7" t="b">
        <f>IF(BQ$186=BK186,N$10*(BR186*BO186))</f>
        <v>0</v>
      </c>
      <c r="BT186" s="7" t="b">
        <f>IF(BQ$186=BK186,N$11*(BR186*BO186))</f>
        <v>0</v>
      </c>
      <c r="BU186" s="7">
        <f>BS186-BT186</f>
        <v>0</v>
      </c>
      <c r="BV186" s="11">
        <v>1</v>
      </c>
      <c r="BW186" s="10" t="s">
        <v>92</v>
      </c>
      <c r="BX186" s="9"/>
      <c r="BY186" s="8"/>
      <c r="BZ186" s="7">
        <v>1.125E-2</v>
      </c>
      <c r="CA186" s="7" t="str">
        <f>IF((O$8=BW186),BV186,"")</f>
        <v/>
      </c>
      <c r="CB186" s="7" t="str">
        <f>IFERROR(SMALL(CA$186:CA$188,BV186),"")</f>
        <v/>
      </c>
      <c r="CC186" s="59">
        <v>495</v>
      </c>
      <c r="CD186" s="7" t="b">
        <f>IF(CB$186=BV186,O$10*(CC186*BZ186))</f>
        <v>0</v>
      </c>
      <c r="CE186" s="7" t="b">
        <f>IF(CB$186=BV186,O$11*(CC186*BZ186))</f>
        <v>0</v>
      </c>
      <c r="CF186" s="7">
        <f>CD186-CE186</f>
        <v>0</v>
      </c>
      <c r="CG186" s="2"/>
    </row>
    <row r="187" spans="6:85" hidden="1">
      <c r="F187" s="2">
        <v>2</v>
      </c>
      <c r="G187" s="6" t="s">
        <v>93</v>
      </c>
      <c r="H187" s="5"/>
      <c r="I187" s="4"/>
      <c r="J187" s="3">
        <f>IF(I161=1,0.14624, IF(I161=2, 0.479, IF(I161=3, 0.22, IF(I161=4, 0.207, IF(I161=5, 0.0462, IF(I161=6, 0.0462, IF(I161=7, 0.0023, IF(I161=8, 0.0023,""))))))))</f>
        <v>0.14624000000000001</v>
      </c>
      <c r="K187" s="3" t="str">
        <f>IF((J$8=G187),F187,"")</f>
        <v/>
      </c>
      <c r="L187" s="3" t="str">
        <f>IFERROR(SMALL(K$186:K$188,F187),"")</f>
        <v/>
      </c>
      <c r="M187" s="58">
        <v>301</v>
      </c>
      <c r="N187" s="3" t="b">
        <f>IF(L$186=F187, IF(J$7=G$26,J$10*J187*45366, IF(J$7=G$27, J$10*J187*31130)))</f>
        <v>0</v>
      </c>
      <c r="O187" s="3" t="b">
        <f>IF(L$186=F187,IF(J$7=G$26,J$11*J187*45366, IF(J$7=G$27,J$11*J187*31130)))</f>
        <v>0</v>
      </c>
      <c r="P187" s="3">
        <f>(((N187-O187)/1000)*0.000001)*$J$6</f>
        <v>0</v>
      </c>
      <c r="Q187" s="2" t="s">
        <v>63</v>
      </c>
      <c r="R187" s="2"/>
      <c r="S187" s="2"/>
      <c r="U187" s="2">
        <v>2</v>
      </c>
      <c r="V187" s="6" t="s">
        <v>93</v>
      </c>
      <c r="W187" s="5"/>
      <c r="X187" s="4"/>
      <c r="Y187" s="3" t="str">
        <f>IF(X161=1,0.14624, IF(X161=2, 0.479, IF(X161=3, 0.22, IF(X161=4, 0.207, IF(X161=5, 0.0462, IF(X161=6, 0.0462, IF(X161=7, 0.0023, IF(X161=8, 0.0023,""))))))))</f>
        <v/>
      </c>
      <c r="Z187" s="3" t="str">
        <f>IF((K$8=V187),U187,"")</f>
        <v/>
      </c>
      <c r="AA187" s="3" t="str">
        <f>IFERROR(SMALL(Z$186:Z$188,U187),"")</f>
        <v/>
      </c>
      <c r="AB187" s="58">
        <v>301</v>
      </c>
      <c r="AC187" s="3" t="b">
        <f>IF(AA$186=U187,IF(K$7=V$26,K$10*Y187*45366, IF(K$7=V$27,K$10*Y187*31130)))</f>
        <v>0</v>
      </c>
      <c r="AD187" s="3" t="b">
        <f>IF(AA$186=U187,IF(K$7=V$26,K$11*Y187*45366, IF(K$7=V$27,K$11*Y187*31130)))</f>
        <v>0</v>
      </c>
      <c r="AE187" s="3">
        <f>(((AC187-AD187)/1000)*0.000001)*K6</f>
        <v>0</v>
      </c>
      <c r="AF187" s="2" t="s">
        <v>63</v>
      </c>
      <c r="AG187" s="2"/>
      <c r="AH187" s="2"/>
      <c r="AI187" s="2">
        <v>2</v>
      </c>
      <c r="AJ187" s="6" t="s">
        <v>93</v>
      </c>
      <c r="AK187" s="5"/>
      <c r="AL187" s="4"/>
      <c r="AM187" s="3" t="str">
        <f>IF(AL161=1,0.14624, IF(AL161=2, 0.479, IF(AL161=3, 0.22, IF(AL161=4, 0.207, IF(AL161=5, 0.0462, IF(AL161=6, 0.0462, IF(AL161=7, 0.0023, IF(AL161=8, 0.0023,""))))))))</f>
        <v/>
      </c>
      <c r="AN187" s="3" t="str">
        <f>IF((L$8=AJ187),AI187,"")</f>
        <v/>
      </c>
      <c r="AO187" s="3" t="str">
        <f>IFERROR(SMALL(AN$186:AN$188,AI187),"")</f>
        <v/>
      </c>
      <c r="AP187" s="58">
        <v>301</v>
      </c>
      <c r="AQ187" s="3" t="b">
        <f>IF(AO$186=AI187,IF(L$7=AJ$26,L$10*AM187*45366, IF(L$7=AJ$27, L$10*AM187*31130)))</f>
        <v>0</v>
      </c>
      <c r="AR187" s="3" t="b">
        <f>IF(AO$186=AI187,IF(L$7=AJ$26,L$11*AM187*45366, IF(L$7=AJ$27, L$11*AM187*31130)))</f>
        <v>0</v>
      </c>
      <c r="AS187" s="3">
        <f>(((AQ187-AR187)/1000)*0.000001)*L6</f>
        <v>0</v>
      </c>
      <c r="AT187" s="2" t="s">
        <v>63</v>
      </c>
      <c r="AU187" s="2"/>
      <c r="AW187" s="2">
        <v>2</v>
      </c>
      <c r="AX187" s="6" t="s">
        <v>93</v>
      </c>
      <c r="AY187" s="5"/>
      <c r="AZ187" s="4"/>
      <c r="BA187" s="3" t="str">
        <f>IF(AZ161=1,0.14624, IF(AZ161=2, 0.479, IF(AZ161=3, 0.22, IF(AZ161=4, 0.207, IF(AZ161=5, 0.0462, IF(AZ161=6, 0.0462, IF(AZ161=7, 0.0023, IF(AZ161=8, 0.0023,""))))))))</f>
        <v/>
      </c>
      <c r="BB187" s="3" t="str">
        <f>IF((M$8=AX187),AW187,"")</f>
        <v/>
      </c>
      <c r="BC187" s="3" t="str">
        <f>IFERROR(SMALL(BB$186:BB$188,AW187),"")</f>
        <v/>
      </c>
      <c r="BD187" s="58">
        <v>301</v>
      </c>
      <c r="BE187" s="3" t="b">
        <f>IF(BC$186=AW187,IF(M$7=AX$26,M$10*BA187*45366,IF(M$7=AX$27,M$10*BA187*31130)))</f>
        <v>0</v>
      </c>
      <c r="BF187" s="3" t="b">
        <f>IF(BC$186=AW187,IF(M$7=AX$26,M$11*BA187*45366,IF(M$7=AX$27,M$11*BA187*31130)))</f>
        <v>0</v>
      </c>
      <c r="BG187" s="3">
        <f>(((BE187-BF187)/1000)*0.000001)*M6</f>
        <v>0</v>
      </c>
      <c r="BH187" s="2" t="s">
        <v>63</v>
      </c>
      <c r="BK187" s="2">
        <v>2</v>
      </c>
      <c r="BL187" s="6" t="s">
        <v>93</v>
      </c>
      <c r="BM187" s="5"/>
      <c r="BN187" s="4"/>
      <c r="BO187" s="3" t="str">
        <f>IF(BN161=1,0.14624, IF(BN161=2, 0.479, IF(BN161=3, 0.22, IF(BN161=4, 0.207, IF(BN161=5, 0.0462, IF(BN161=6, 0.0462, IF(BN161=7, 0.0023, IF(BN161=8, 0.0023,""))))))))</f>
        <v/>
      </c>
      <c r="BP187" s="3" t="str">
        <f>IF((N$8=BL187),BK187,"")</f>
        <v/>
      </c>
      <c r="BQ187" s="3" t="str">
        <f>IFERROR(SMALL(BP$186:BP$188,BK187),"")</f>
        <v/>
      </c>
      <c r="BR187" s="58">
        <v>301</v>
      </c>
      <c r="BS187" s="3" t="b">
        <f>IF(BQ$186=BK187,IF(N$7=BL$26,N$10*BO187*45366,IF(N$7=BL$27,N$10*BO187*31130)))</f>
        <v>0</v>
      </c>
      <c r="BT187" s="3" t="b">
        <f>IF(BQ$186=BK187,IF(N$7=BL$26,N$11*BO187*45366,IF(N$7=BL$27,N$11*BO187*31130)))</f>
        <v>0</v>
      </c>
      <c r="BU187" s="3">
        <f>(((BS187-BT187)/1000)*0.000001)*$N$6</f>
        <v>0</v>
      </c>
      <c r="BV187" s="2">
        <v>2</v>
      </c>
      <c r="BW187" s="6" t="s">
        <v>93</v>
      </c>
      <c r="BX187" s="5"/>
      <c r="BY187" s="4"/>
      <c r="BZ187" s="3" t="str">
        <f>IF(BY161=1,0.14624, IF(BY161=2, 0.479, IF(BY161=3, 0.22, IF(BY161=4, 0.207, IF(BY161=5, 0.0462, IF(BY161=6, 0.0462, IF(BY161=7, 0.0023, IF(BY161=8, 0.0023,""))))))))</f>
        <v/>
      </c>
      <c r="CA187" s="3" t="str">
        <f>IF((O$8=BW187),BV187,"")</f>
        <v/>
      </c>
      <c r="CB187" s="3" t="str">
        <f>IFERROR(SMALL(CA$186:CA$188,BV187),"")</f>
        <v/>
      </c>
      <c r="CC187" s="58">
        <v>301</v>
      </c>
      <c r="CD187" s="3" t="b">
        <f>IF(CB$186=BV187,IF(O$7=BW$26,O$10*BZ187*45366,IF(O$7=BW$27,O$10*BZ187*31130)))</f>
        <v>0</v>
      </c>
      <c r="CE187" s="3" t="b">
        <f>IF(CB$186=BV187,IF(O$7=BW$26,O$11*BZ187*45366,IF(O$7=BW$27,O$11*BZ187*31130)))</f>
        <v>0</v>
      </c>
      <c r="CF187" s="3">
        <f>(((CD187-CE187)/1000)*0.000001)*$O$6</f>
        <v>0</v>
      </c>
      <c r="CG187" s="2" t="s">
        <v>63</v>
      </c>
    </row>
    <row r="188" spans="6:85" hidden="1">
      <c r="F188" s="2">
        <v>3</v>
      </c>
      <c r="G188" s="6" t="s">
        <v>94</v>
      </c>
      <c r="H188" s="5"/>
      <c r="I188" s="4"/>
      <c r="J188" s="3">
        <f>IF(I161=1,0.1297, IF(I161=2, 0.362, IF(I161=3, 0.165, IF(I161=4, 0.178, IF(I161=5, 0.0354, IF(I161=6, 0.0354, IF(I161=7,"", IF(I161=8, 0.0018,""))))))))</f>
        <v>0.12970000000000001</v>
      </c>
      <c r="K188" s="3" t="str">
        <f>IF((J$8=G188),F188,"")</f>
        <v/>
      </c>
      <c r="L188" s="3" t="str">
        <f>IFERROR(SMALL(K$186:K$188,F188),"")</f>
        <v/>
      </c>
      <c r="M188" s="58">
        <v>247</v>
      </c>
      <c r="N188" s="3" t="b">
        <f>IF(L$186=F188, IF(J$7=G$26,J$10*J188*45366, IF(J$7=G$27, J$10*J188*31130)))</f>
        <v>0</v>
      </c>
      <c r="O188" s="3" t="b">
        <f>IF(L$186=F188,IF(J$7=G$26,J$11*J188*45366, IF(J$7=G$27,J$11*J188*31130)))</f>
        <v>0</v>
      </c>
      <c r="P188" s="3">
        <f>(((N188-O188)/1000)*0.000001)*$J$6</f>
        <v>0</v>
      </c>
      <c r="Q188" s="2" t="s">
        <v>63</v>
      </c>
      <c r="R188" s="2"/>
      <c r="S188" s="2"/>
      <c r="U188" s="2">
        <v>3</v>
      </c>
      <c r="V188" s="6" t="s">
        <v>94</v>
      </c>
      <c r="W188" s="5"/>
      <c r="X188" s="4"/>
      <c r="Y188" s="3" t="str">
        <f>IF(X161=1,0.1297, IF(X161=2, 0.362, IF(X161=3, 0.165, IF(X161=4, 0.178, IF(X161=5, 0.0354, IF(X161=6, 0.0354, IF(X161=7,"", IF(X161=8, 0.0018,""))))))))</f>
        <v/>
      </c>
      <c r="Z188" s="3" t="str">
        <f>IF((K$8=V188),U188,"")</f>
        <v/>
      </c>
      <c r="AA188" s="3" t="str">
        <f>IFERROR(SMALL(Z$186:Z$188,U188),"")</f>
        <v/>
      </c>
      <c r="AB188" s="58">
        <v>247</v>
      </c>
      <c r="AC188" s="3" t="b">
        <f>IF(AA$186=U188,IF(K$7=V$26,K$10*Y188*45366, IF(K$7=V$27,K$10*Y188*31130)))</f>
        <v>0</v>
      </c>
      <c r="AD188" s="3" t="b">
        <f>IF(AA$186=U188,IF(K$7=V$26,K$11*Y188*45366, IF(K$7=V$27,K$11*Y188*31130)))</f>
        <v>0</v>
      </c>
      <c r="AE188" s="3">
        <f>(((AC188-AD188)/1000)*0.000001)*K6</f>
        <v>0</v>
      </c>
      <c r="AF188" s="2" t="s">
        <v>63</v>
      </c>
      <c r="AG188" s="2"/>
      <c r="AH188" s="2"/>
      <c r="AI188" s="2">
        <v>3</v>
      </c>
      <c r="AJ188" s="6" t="s">
        <v>94</v>
      </c>
      <c r="AK188" s="5"/>
      <c r="AL188" s="4"/>
      <c r="AM188" s="3" t="str">
        <f>IF(AL161=1,0.1297, IF(AL161=2, 0.362, IF(AL161=3, 0.165, IF(AL161=4, 0.178, IF(AL161=5, 0.0354, IF(AL161=6, 0.0354, IF(AL161=7,"", IF(AL161=8, 0.0018,""))))))))</f>
        <v/>
      </c>
      <c r="AN188" s="3" t="str">
        <f>IF((L$8=AJ188),AI188,"")</f>
        <v/>
      </c>
      <c r="AO188" s="3" t="str">
        <f>IFERROR(SMALL(AN$186:AN$188,AI188),"")</f>
        <v/>
      </c>
      <c r="AP188" s="58">
        <v>247</v>
      </c>
      <c r="AQ188" s="3" t="b">
        <f>IF(AO$186=AI188,IF(L$7=AJ$26,L$10*AM188*45366, IF(L$7=AJ$27, L$10*AM188*31130)))</f>
        <v>0</v>
      </c>
      <c r="AR188" s="3" t="b">
        <f>IF(AO$186=AI188,IF(L$7=AJ$26,L$11*AM188*45366, IF(L$7=AJ$27, L$11*AM188*31130)))</f>
        <v>0</v>
      </c>
      <c r="AS188" s="3">
        <f>(((AQ188-AR188)/1000)*0.000001)*L6</f>
        <v>0</v>
      </c>
      <c r="AT188" s="2" t="s">
        <v>63</v>
      </c>
      <c r="AU188" s="2"/>
      <c r="AW188" s="2">
        <v>3</v>
      </c>
      <c r="AX188" s="6" t="s">
        <v>94</v>
      </c>
      <c r="AY188" s="5"/>
      <c r="AZ188" s="4"/>
      <c r="BA188" s="3" t="str">
        <f>IF(AZ161=1,0.1297, IF(AZ161=2, 0.362, IF(AZ161=3, 0.165, IF(AZ161=4, 0.178, IF(AZ161=5, 0.0354, IF(AZ161=6, 0.0354, IF(AZ161=7,"", IF(AZ161=8, 0.0018,""))))))))</f>
        <v/>
      </c>
      <c r="BB188" s="3" t="str">
        <f>IF((M$8=AX188),AW188,"")</f>
        <v/>
      </c>
      <c r="BC188" s="3" t="str">
        <f>IFERROR(SMALL(BB$186:BB$188,AW188),"")</f>
        <v/>
      </c>
      <c r="BD188" s="58">
        <v>247</v>
      </c>
      <c r="BE188" s="3" t="b">
        <f>IF(BC$186=AW188,IF(M$7=AX$26,M$10*BA188*45366,IF(M$7=AX$27,M$10*BA188*31130)))</f>
        <v>0</v>
      </c>
      <c r="BF188" s="3" t="b">
        <f>IF(BC$186=AW188,IF(M$7=AX$26,M$11*BA188*45366,IF(M$7=AX$27,M$11*BA188*31130)))</f>
        <v>0</v>
      </c>
      <c r="BG188" s="3">
        <f>(((BE188-BF188)/1000)*0.000001)*M6</f>
        <v>0</v>
      </c>
      <c r="BH188" s="2" t="s">
        <v>63</v>
      </c>
      <c r="BK188" s="2">
        <v>3</v>
      </c>
      <c r="BL188" s="6" t="s">
        <v>94</v>
      </c>
      <c r="BM188" s="5"/>
      <c r="BN188" s="4"/>
      <c r="BO188" s="3" t="str">
        <f>IF(BN161=1,0.1297, IF(BN161=2, 0.362, IF(BN161=3, 0.165, IF(BN161=4, 0.178, IF(BN161=5, 0.0354, IF(BN161=6, 0.0354, IF(BN161=7,"", IF(BN161=8, 0.0018,""))))))))</f>
        <v/>
      </c>
      <c r="BP188" s="3" t="str">
        <f>IF((N$8=BL188),BK188,"")</f>
        <v/>
      </c>
      <c r="BQ188" s="3" t="str">
        <f>IFERROR(SMALL(BP$186:BP$188,BK188),"")</f>
        <v/>
      </c>
      <c r="BR188" s="58">
        <v>247</v>
      </c>
      <c r="BS188" s="3" t="b">
        <f>IF(BQ$186=BK188,IF(N$7=BL$26,N$10*BO188*45366,IF(N$7=BL$27,N$10*BO188*31130)))</f>
        <v>0</v>
      </c>
      <c r="BT188" s="3" t="b">
        <f>IF(BQ$186=BK188,IF(N$7=BL$26,N$11*BO188*45366,IF(N$7=BL$27,N$11*BO188*31130)))</f>
        <v>0</v>
      </c>
      <c r="BU188" s="3">
        <f>(((BS188-BT188)/1000)*0.000001)*$N$6</f>
        <v>0</v>
      </c>
      <c r="BV188" s="2">
        <v>3</v>
      </c>
      <c r="BW188" s="6" t="s">
        <v>94</v>
      </c>
      <c r="BX188" s="5"/>
      <c r="BY188" s="4"/>
      <c r="BZ188" s="3" t="str">
        <f>IF(BY161=1,0.1297, IF(BY161=2, 0.362, IF(BY161=3, 0.165, IF(BY161=4, 0.178, IF(BY161=5, 0.0354, IF(BY161=6, 0.0354, IF(BY161=7,"", IF(BY161=8, 0.0018,""))))))))</f>
        <v/>
      </c>
      <c r="CA188" s="3" t="str">
        <f>IF((O$8=BW188),BV188,"")</f>
        <v/>
      </c>
      <c r="CB188" s="3" t="str">
        <f>IFERROR(SMALL(CA$186:CA$188,BV188),"")</f>
        <v/>
      </c>
      <c r="CC188" s="58">
        <v>247</v>
      </c>
      <c r="CD188" s="3" t="b">
        <f>IF(CB$186=BV188,IF(O$7=BW$26,O$10*BZ188*45366,IF(O$7=BW$27,O$10*BZ188*31130)))</f>
        <v>0</v>
      </c>
      <c r="CE188" s="3" t="b">
        <f>IF(CB$186=BV188,IF(O$7=BW$26,O$11*BZ188*45366,IF(O$7=BW$27,O$11*BZ188*31130)))</f>
        <v>0</v>
      </c>
      <c r="CF188" s="3">
        <f>(((CD188-CE188)/1000)*0.000001)*$O$6</f>
        <v>0</v>
      </c>
      <c r="CG188" s="2" t="s">
        <v>63</v>
      </c>
    </row>
    <row r="189" spans="6:85" hidden="1">
      <c r="F189" s="2"/>
      <c r="G189" s="2"/>
      <c r="H189" s="2"/>
      <c r="I189" s="2"/>
      <c r="J189" s="2"/>
      <c r="K189" s="2"/>
      <c r="L189" s="2"/>
      <c r="M189" s="2"/>
      <c r="N189" s="2"/>
      <c r="O189" s="2"/>
      <c r="P189" s="2"/>
      <c r="Q189" s="2"/>
      <c r="R189" s="2"/>
      <c r="S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W189" s="2"/>
      <c r="AX189" s="2"/>
      <c r="AY189" s="2"/>
      <c r="AZ189" s="2"/>
      <c r="BA189" s="2"/>
      <c r="BB189" s="2"/>
      <c r="BC189" s="2"/>
      <c r="BD189" s="2"/>
      <c r="BE189" s="2"/>
      <c r="BF189" s="2"/>
      <c r="BG189" s="2"/>
      <c r="BH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row>
    <row r="190" spans="6:85" hidden="1">
      <c r="F190" s="2"/>
      <c r="G190" s="2"/>
      <c r="H190" s="2"/>
      <c r="I190" s="2"/>
      <c r="J190" s="2"/>
      <c r="K190" s="2"/>
      <c r="L190" s="2"/>
      <c r="M190" s="2"/>
      <c r="N190" s="2"/>
      <c r="O190" s="2"/>
      <c r="P190" s="2"/>
      <c r="Q190" s="2"/>
      <c r="R190" s="2"/>
      <c r="S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W190" s="2"/>
      <c r="AX190" s="2"/>
      <c r="AY190" s="2"/>
      <c r="AZ190" s="2"/>
      <c r="BA190" s="2"/>
      <c r="BB190" s="2"/>
      <c r="BC190" s="2"/>
      <c r="BD190" s="2"/>
      <c r="BE190" s="2"/>
      <c r="BF190" s="2"/>
      <c r="BG190" s="2"/>
      <c r="BH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row>
    <row r="191" spans="6:85" hidden="1">
      <c r="F191" s="2"/>
      <c r="G191" s="2"/>
      <c r="H191" s="2"/>
      <c r="I191" s="2"/>
      <c r="J191" s="2"/>
      <c r="K191" s="2"/>
      <c r="L191" s="2"/>
      <c r="M191" s="2"/>
      <c r="N191" s="2"/>
      <c r="O191" s="2"/>
      <c r="P191" s="2"/>
      <c r="Q191" s="2"/>
      <c r="R191" s="2"/>
      <c r="S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W191" s="2"/>
      <c r="AX191" s="2"/>
      <c r="AY191" s="2"/>
      <c r="AZ191" s="2"/>
      <c r="BA191" s="2"/>
      <c r="BB191" s="2"/>
      <c r="BC191" s="2"/>
      <c r="BD191" s="2"/>
      <c r="BE191" s="2"/>
      <c r="BF191" s="2"/>
      <c r="BG191" s="2"/>
      <c r="BH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row>
    <row r="192" spans="6:85" hidden="1">
      <c r="F192" s="2"/>
      <c r="G192" s="16" t="s">
        <v>96</v>
      </c>
      <c r="H192" s="2"/>
      <c r="I192" s="2"/>
      <c r="J192" s="2"/>
      <c r="K192" s="2"/>
      <c r="L192" s="2"/>
      <c r="M192" s="2"/>
      <c r="N192" s="2"/>
      <c r="O192" s="2"/>
      <c r="P192" s="2"/>
      <c r="Q192" s="2"/>
      <c r="R192" s="2"/>
      <c r="S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W192" s="2"/>
      <c r="AX192" s="2"/>
      <c r="AY192" s="2"/>
      <c r="AZ192" s="2"/>
      <c r="BA192" s="2"/>
      <c r="BB192" s="2"/>
      <c r="BC192" s="2"/>
      <c r="BD192" s="2"/>
      <c r="BE192" s="2"/>
      <c r="BF192" s="2"/>
      <c r="BG192" s="2"/>
      <c r="BH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row>
    <row r="193" spans="6:85" hidden="1">
      <c r="F193" s="2"/>
      <c r="G193" s="16"/>
      <c r="H193" s="2"/>
      <c r="I193" s="2"/>
      <c r="J193" s="2"/>
      <c r="K193" s="2"/>
      <c r="L193" s="2"/>
      <c r="M193" s="2"/>
      <c r="N193" s="2"/>
      <c r="O193" s="2"/>
      <c r="P193" s="2"/>
      <c r="Q193" s="2"/>
      <c r="R193" s="2"/>
      <c r="S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W193" s="2"/>
      <c r="AX193" s="2"/>
      <c r="AY193" s="2"/>
      <c r="AZ193" s="2"/>
      <c r="BA193" s="2"/>
      <c r="BB193" s="2"/>
      <c r="BC193" s="2"/>
      <c r="BD193" s="2"/>
      <c r="BE193" s="2"/>
      <c r="BF193" s="2"/>
      <c r="BG193" s="2"/>
      <c r="BH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row>
    <row r="194" spans="6:85" hidden="1">
      <c r="F194" s="2" t="s">
        <v>97</v>
      </c>
      <c r="G194" s="16"/>
      <c r="H194" s="2"/>
      <c r="I194" s="2"/>
      <c r="J194" s="2"/>
      <c r="K194" s="2"/>
      <c r="L194" s="2"/>
      <c r="M194" s="2"/>
      <c r="N194" s="2"/>
      <c r="O194" s="2"/>
      <c r="P194" s="2"/>
      <c r="Q194" s="2"/>
      <c r="R194" s="2"/>
      <c r="S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W194" s="2"/>
      <c r="AX194" s="2"/>
      <c r="AY194" s="2"/>
      <c r="AZ194" s="2"/>
      <c r="BA194" s="2"/>
      <c r="BB194" s="2"/>
      <c r="BC194" s="2"/>
      <c r="BD194" s="2"/>
      <c r="BE194" s="2"/>
      <c r="BF194" s="2"/>
      <c r="BG194" s="2"/>
      <c r="BH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row>
    <row r="195" spans="6:85" hidden="1">
      <c r="F195" s="2" t="s">
        <v>98</v>
      </c>
      <c r="G195" s="16"/>
      <c r="H195" s="2"/>
      <c r="I195" s="2"/>
      <c r="J195" s="2"/>
      <c r="K195" s="2"/>
      <c r="L195" s="2"/>
      <c r="M195" s="2"/>
      <c r="N195" s="2"/>
      <c r="O195" s="2"/>
      <c r="P195" s="2"/>
      <c r="Q195" s="2"/>
      <c r="R195" s="2"/>
      <c r="S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W195" s="2"/>
      <c r="AX195" s="2"/>
      <c r="AY195" s="2"/>
      <c r="AZ195" s="2"/>
      <c r="BA195" s="2"/>
      <c r="BB195" s="2"/>
      <c r="BC195" s="2"/>
      <c r="BD195" s="2"/>
      <c r="BE195" s="2"/>
      <c r="BF195" s="2"/>
      <c r="BG195" s="2"/>
      <c r="BH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row>
    <row r="196" spans="6:85" hidden="1">
      <c r="F196" s="72" t="s">
        <v>99</v>
      </c>
      <c r="G196" s="16"/>
      <c r="H196" s="2"/>
      <c r="I196" s="2"/>
      <c r="J196" s="2"/>
      <c r="K196" s="2"/>
      <c r="L196" s="2"/>
      <c r="M196" s="2"/>
      <c r="N196" s="2"/>
      <c r="O196" s="2"/>
      <c r="P196" s="2"/>
      <c r="Q196" s="2"/>
      <c r="R196" s="2"/>
      <c r="S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W196" s="2"/>
      <c r="AX196" s="2"/>
      <c r="AY196" s="2"/>
      <c r="AZ196" s="2"/>
      <c r="BA196" s="2"/>
      <c r="BB196" s="2"/>
      <c r="BC196" s="2"/>
      <c r="BD196" s="2"/>
      <c r="BE196" s="2"/>
      <c r="BF196" s="2"/>
      <c r="BG196" s="2"/>
      <c r="BH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row>
    <row r="197" spans="6:85" hidden="1">
      <c r="F197" s="2"/>
      <c r="G197" s="16"/>
      <c r="H197" s="2"/>
      <c r="I197" s="2"/>
      <c r="J197" s="2"/>
      <c r="K197" s="2"/>
      <c r="L197" s="2"/>
      <c r="M197" s="2"/>
      <c r="N197" s="2"/>
      <c r="O197" s="2"/>
      <c r="P197" s="2"/>
      <c r="Q197" s="2"/>
      <c r="R197" s="2"/>
      <c r="S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W197" s="2"/>
      <c r="AX197" s="2"/>
      <c r="AY197" s="2"/>
      <c r="AZ197" s="2"/>
      <c r="BA197" s="2"/>
      <c r="BB197" s="2"/>
      <c r="BC197" s="2"/>
      <c r="BD197" s="2"/>
      <c r="BE197" s="2"/>
      <c r="BF197" s="2"/>
      <c r="BG197" s="2"/>
      <c r="BH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row>
    <row r="198" spans="6:85" hidden="1">
      <c r="F198" s="2"/>
      <c r="G198" s="16"/>
      <c r="H198" s="2"/>
      <c r="I198" s="2"/>
      <c r="J198" s="2"/>
      <c r="K198" s="2"/>
      <c r="L198" s="2"/>
      <c r="M198" s="2"/>
      <c r="N198" s="2"/>
      <c r="O198" s="2"/>
      <c r="P198" s="2"/>
      <c r="Q198" s="2"/>
      <c r="R198" s="2"/>
      <c r="S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W198" s="2"/>
      <c r="AX198" s="2"/>
      <c r="AY198" s="2"/>
      <c r="AZ198" s="2"/>
      <c r="BA198" s="2"/>
      <c r="BB198" s="2"/>
      <c r="BC198" s="2"/>
      <c r="BD198" s="2"/>
      <c r="BE198" s="2"/>
      <c r="BF198" s="2"/>
      <c r="BG198" s="2"/>
      <c r="BH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row>
    <row r="199" spans="6:85" hidden="1">
      <c r="F199" s="2"/>
      <c r="G199" s="16"/>
      <c r="H199" s="2"/>
      <c r="I199" s="2"/>
      <c r="J199" s="2"/>
      <c r="K199" s="2"/>
      <c r="L199" s="2"/>
      <c r="M199" s="2"/>
      <c r="N199" s="2"/>
      <c r="O199" s="2"/>
      <c r="P199" s="2"/>
      <c r="Q199" s="2"/>
      <c r="R199" s="2"/>
      <c r="S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W199" s="2"/>
      <c r="AX199" s="2"/>
      <c r="AY199" s="2"/>
      <c r="AZ199" s="2"/>
      <c r="BA199" s="2"/>
      <c r="BB199" s="2"/>
      <c r="BC199" s="2"/>
      <c r="BD199" s="2"/>
      <c r="BE199" s="2"/>
      <c r="BF199" s="2"/>
      <c r="BG199" s="2"/>
      <c r="BH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row>
    <row r="200" spans="6:85" hidden="1">
      <c r="F200" s="2"/>
      <c r="G200" s="16"/>
      <c r="H200" s="2"/>
      <c r="I200" s="2"/>
      <c r="J200" s="2"/>
      <c r="K200" s="2"/>
      <c r="L200" s="2"/>
      <c r="M200" s="2"/>
      <c r="N200" s="2"/>
      <c r="O200" s="2"/>
      <c r="P200" s="2"/>
      <c r="Q200" s="2"/>
      <c r="R200" s="2"/>
      <c r="S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W200" s="2"/>
      <c r="AX200" s="2"/>
      <c r="AY200" s="2"/>
      <c r="AZ200" s="2"/>
      <c r="BA200" s="2"/>
      <c r="BB200" s="2"/>
      <c r="BC200" s="2"/>
      <c r="BD200" s="2"/>
      <c r="BE200" s="2"/>
      <c r="BF200" s="2"/>
      <c r="BG200" s="2"/>
      <c r="BH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row>
    <row r="201" spans="6:85" hidden="1">
      <c r="F201" s="2"/>
      <c r="G201" s="16"/>
      <c r="H201" s="2"/>
      <c r="I201" s="2"/>
      <c r="J201" s="2"/>
      <c r="K201" s="2"/>
      <c r="L201" s="2"/>
      <c r="M201" s="2"/>
      <c r="N201" s="2"/>
      <c r="O201" s="2"/>
      <c r="P201" s="2"/>
      <c r="Q201" s="2"/>
      <c r="R201" s="2"/>
      <c r="S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W201" s="2"/>
      <c r="AX201" s="2"/>
      <c r="AY201" s="2"/>
      <c r="AZ201" s="2"/>
      <c r="BA201" s="2"/>
      <c r="BB201" s="2"/>
      <c r="BC201" s="2"/>
      <c r="BD201" s="2"/>
      <c r="BE201" s="2"/>
      <c r="BF201" s="2"/>
      <c r="BG201" s="2"/>
      <c r="BH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row>
    <row r="202" spans="6:85" ht="6" customHeight="1">
      <c r="F202" s="2"/>
      <c r="G202" s="2"/>
      <c r="H202" s="2"/>
      <c r="I202" s="2"/>
      <c r="J202" s="2"/>
      <c r="K202" s="2"/>
      <c r="L202" s="2"/>
      <c r="M202" s="2"/>
      <c r="N202" s="2"/>
      <c r="O202" s="2"/>
      <c r="P202" s="2"/>
      <c r="Q202" s="2"/>
      <c r="R202" s="2"/>
      <c r="S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W202" s="2"/>
      <c r="AX202" s="2"/>
      <c r="AY202" s="2"/>
      <c r="AZ202" s="2"/>
      <c r="BA202" s="2"/>
      <c r="BB202" s="2"/>
      <c r="BC202" s="2"/>
      <c r="BD202" s="2"/>
      <c r="BE202" s="2"/>
      <c r="BF202" s="2"/>
      <c r="BG202" s="2"/>
      <c r="BH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row>
    <row r="205" spans="6:85" ht="15.75" thickBot="1">
      <c r="M205" s="69"/>
    </row>
    <row r="206" spans="6:85" ht="15.75" thickTop="1">
      <c r="F206" s="165" t="s">
        <v>100</v>
      </c>
      <c r="G206" s="165"/>
      <c r="H206" s="165"/>
      <c r="I206" s="165"/>
      <c r="J206" s="120" t="s">
        <v>101</v>
      </c>
      <c r="K206" s="120" t="s">
        <v>101</v>
      </c>
      <c r="L206" s="120" t="s">
        <v>101</v>
      </c>
      <c r="M206" s="161" t="s">
        <v>102</v>
      </c>
      <c r="N206" s="67"/>
    </row>
    <row r="207" spans="6:85" ht="15.75" customHeight="1" thickBot="1">
      <c r="F207" s="166"/>
      <c r="G207" s="166"/>
      <c r="H207" s="166"/>
      <c r="I207" s="166"/>
      <c r="J207" s="121" t="s">
        <v>16</v>
      </c>
      <c r="K207" s="121" t="s">
        <v>64</v>
      </c>
      <c r="L207" s="121" t="s">
        <v>65</v>
      </c>
      <c r="M207" s="161"/>
      <c r="N207" s="67"/>
    </row>
    <row r="208" spans="6:85" ht="15.75" customHeight="1" thickTop="1">
      <c r="F208" s="164" t="s">
        <v>103</v>
      </c>
      <c r="G208" s="164"/>
      <c r="H208" s="164"/>
      <c r="I208" s="164"/>
      <c r="J208" s="122">
        <v>390260</v>
      </c>
      <c r="K208" s="122">
        <v>1130380</v>
      </c>
      <c r="L208" s="123">
        <v>53</v>
      </c>
      <c r="M208" s="159" t="s">
        <v>104</v>
      </c>
      <c r="N208" s="67"/>
    </row>
    <row r="209" spans="6:14" ht="15" customHeight="1">
      <c r="F209" s="162" t="s">
        <v>105</v>
      </c>
      <c r="G209" s="162"/>
      <c r="H209" s="162"/>
      <c r="I209" s="162"/>
      <c r="J209" s="124">
        <v>1652</v>
      </c>
      <c r="K209" s="124">
        <v>74704</v>
      </c>
      <c r="L209" s="125">
        <v>9</v>
      </c>
      <c r="M209" s="160"/>
      <c r="N209" s="67"/>
    </row>
    <row r="210" spans="6:14">
      <c r="F210" s="162" t="s">
        <v>106</v>
      </c>
      <c r="G210" s="162"/>
      <c r="H210" s="162"/>
      <c r="I210" s="162"/>
      <c r="J210" s="124">
        <v>824</v>
      </c>
      <c r="K210" s="124">
        <v>13141</v>
      </c>
      <c r="L210" s="125" t="s">
        <v>11</v>
      </c>
      <c r="M210" s="160"/>
      <c r="N210" s="67"/>
    </row>
    <row r="211" spans="6:14" ht="15" customHeight="1">
      <c r="F211" s="162" t="s">
        <v>107</v>
      </c>
      <c r="G211" s="162"/>
      <c r="H211" s="162"/>
      <c r="I211" s="162"/>
      <c r="J211" s="124">
        <v>13</v>
      </c>
      <c r="K211" s="124">
        <v>88803</v>
      </c>
      <c r="L211" s="125" t="s">
        <v>11</v>
      </c>
      <c r="M211" s="160"/>
      <c r="N211" s="67"/>
    </row>
    <row r="212" spans="6:14">
      <c r="F212" s="163" t="s">
        <v>108</v>
      </c>
      <c r="G212" s="163"/>
      <c r="H212" s="163"/>
      <c r="I212" s="163"/>
      <c r="J212" s="126" t="s">
        <v>11</v>
      </c>
      <c r="K212" s="127">
        <v>3661</v>
      </c>
      <c r="L212" s="128" t="s">
        <v>11</v>
      </c>
      <c r="M212" s="160"/>
      <c r="N212" s="67"/>
    </row>
    <row r="213" spans="6:14" ht="15" customHeight="1" thickBot="1">
      <c r="F213" s="156" t="s">
        <v>109</v>
      </c>
      <c r="G213" s="157"/>
      <c r="H213" s="157"/>
      <c r="I213" s="158"/>
      <c r="J213" s="129" t="s">
        <v>11</v>
      </c>
      <c r="K213" s="130">
        <v>3248</v>
      </c>
      <c r="L213" s="131" t="s">
        <v>11</v>
      </c>
      <c r="M213" s="160"/>
      <c r="N213" s="67"/>
    </row>
    <row r="214" spans="6:14">
      <c r="J214" s="68"/>
      <c r="M214" s="68"/>
    </row>
  </sheetData>
  <sheetProtection algorithmName="SHA-512" hashValue="mVTU28jRBKpnN0NLI2ywBE3KRA/kEeokI9ZYwli7zCyzVYP8ZUw9R7FEl87dNVxUr62BfTPClNTMT1mcdcU+Rw==" saltValue="UNrrrRQKhj7AXqBwX5W1OQ==" spinCount="100000" sheet="1" objects="1" scenarios="1"/>
  <protectedRanges>
    <protectedRange sqref="J6:O11" name="Range1"/>
  </protectedRanges>
  <mergeCells count="15">
    <mergeCell ref="F213:I213"/>
    <mergeCell ref="M208:M213"/>
    <mergeCell ref="M206:M207"/>
    <mergeCell ref="F209:I209"/>
    <mergeCell ref="F210:I210"/>
    <mergeCell ref="F211:I211"/>
    <mergeCell ref="F212:I212"/>
    <mergeCell ref="F208:I208"/>
    <mergeCell ref="F206:I207"/>
    <mergeCell ref="F3:P4"/>
    <mergeCell ref="F10:H11"/>
    <mergeCell ref="F12:H15"/>
    <mergeCell ref="F6:H6"/>
    <mergeCell ref="F7:H8"/>
    <mergeCell ref="F5:I5"/>
  </mergeCells>
  <phoneticPr fontId="31" type="noConversion"/>
  <conditionalFormatting sqref="J12:O12">
    <cfRule type="cellIs" dxfId="3" priority="7" operator="lessThanOrEqual">
      <formula>-0.01*J6</formula>
    </cfRule>
  </conditionalFormatting>
  <conditionalFormatting sqref="J13:O13">
    <cfRule type="cellIs" dxfId="2" priority="19" operator="lessThanOrEqual">
      <formula>-0.01*J6</formula>
    </cfRule>
  </conditionalFormatting>
  <conditionalFormatting sqref="J14:O14">
    <cfRule type="cellIs" dxfId="1" priority="1" operator="lessThanOrEqual">
      <formula>-0.01*J6</formula>
    </cfRule>
  </conditionalFormatting>
  <conditionalFormatting sqref="J15:O15">
    <cfRule type="cellIs" dxfId="0" priority="13" operator="lessThanOrEqual">
      <formula>-0.1*J6</formula>
    </cfRule>
  </conditionalFormatting>
  <dataValidations count="21">
    <dataValidation type="whole" operator="greaterThanOrEqual" allowBlank="1" showInputMessage="1" showErrorMessage="1" errorTitle="Negalima reikšmė" error="Projektinis TP skaičius būti tik teigiamas sveikas skaičius." sqref="J11:O11" xr:uid="{B01E3C20-5821-4B04-9982-AAFD789FB40D}">
      <formula1>0</formula1>
    </dataValidation>
    <dataValidation type="decimal" operator="greaterThanOrEqual" allowBlank="1" showInputMessage="1" showErrorMessage="1" errorTitle="Negalima reikšmė" error="Įgyvendinimo laikotarpio reikšmė gali būti tik teigiamas skaičius." sqref="J6:O6" xr:uid="{31999DE9-0824-4DD9-98A2-58433E2E3CBF}">
      <formula1>1</formula1>
    </dataValidation>
    <dataValidation type="whole" operator="greaterThan" allowBlank="1" showInputMessage="1" showErrorMessage="1" errorTitle="Negalima reikšmė" error="Bazinis TP kiekis reikšmė gali būti tik teigiamas sveikas skaičius." sqref="J10:O10" xr:uid="{83E10E8A-70C4-4326-AE9F-AAABC0E9BA41}">
      <formula1>1</formula1>
    </dataValidation>
    <dataValidation type="list" allowBlank="1" showInputMessage="1" showErrorMessage="1" sqref="O7" xr:uid="{7B2E2AB5-D95F-4A2F-A62C-9A22DD2C34FA}">
      <formula1>$BW$23:$BW$28</formula1>
    </dataValidation>
    <dataValidation type="list" allowBlank="1" showInputMessage="1" showErrorMessage="1" sqref="N7" xr:uid="{923EAC7C-D04A-428F-AECF-FEF43338EF8A}">
      <formula1>$BL$23:$BL$28</formula1>
    </dataValidation>
    <dataValidation type="list" allowBlank="1" showInputMessage="1" showErrorMessage="1" sqref="M7" xr:uid="{646A7F4C-2F65-4B67-BC6B-644CE0ECDEE9}">
      <formula1>$AX$23:$AX$28</formula1>
    </dataValidation>
    <dataValidation type="list" allowBlank="1" showInputMessage="1" showErrorMessage="1" sqref="L7" xr:uid="{4DC2737A-594A-4759-BC7F-4FF7C09E9842}">
      <formula1>$AJ$23:$AJ$28</formula1>
    </dataValidation>
    <dataValidation type="list" allowBlank="1" showInputMessage="1" showErrorMessage="1" sqref="K7" xr:uid="{5605FE7F-3E19-4314-A79A-727C07E05153}">
      <formula1>$V$23:$V$28</formula1>
    </dataValidation>
    <dataValidation type="list" allowBlank="1" showInputMessage="1" showErrorMessage="1" sqref="J7" xr:uid="{C2870F00-14FC-4F55-AA7D-3B270D001488}">
      <formula1>$G$23:$G$28</formula1>
    </dataValidation>
    <dataValidation type="list" allowBlank="1" showInputMessage="1" showErrorMessage="1" sqref="O8" xr:uid="{8652E5DF-EDEE-4444-9919-2DCBCBBD7109}">
      <formula1>IF($CA$23=1, $BW$47:$BW$49, IF($CA$23=2, $BW$100:$BW$101, IF($CA$23=3, $BW$130:$BW$134, IF($CA$23=4, $BW$171:$BW$172,IF($CA$23=5, $BW$171:$BW$172, $M$23)))))</formula1>
    </dataValidation>
    <dataValidation type="list" allowBlank="1" showInputMessage="1" showErrorMessage="1" sqref="N8" xr:uid="{920E2280-C2D0-48CA-BE70-BE0202F1D568}">
      <formula1>IF($BP$23=1, $BL$47:$BL$49, IF($BP$23=2, $BL$100:$BL$101, IF($BP$23=3, $BL$130:$BL$134, IF($BP$23=4, $BL$171:$BL$172,IF($BP$23=5, $BL$171:$BL$172, $M$23)))))</formula1>
    </dataValidation>
    <dataValidation type="list" allowBlank="1" showInputMessage="1" showErrorMessage="1" sqref="M8" xr:uid="{9410E416-2E0C-4F99-93C3-9CBBAA6B7DF2}">
      <formula1>IF($BB$23=1, $AX$56:$AX$58, IF($BB$23=2, $AX$100:$AX$101, IF($BB$23=3, $AX$130:$AX$134, IF($BB$23=4, $AX$171:$AX$172,IF($BB$23=5, $AX$171:$AX$172,$M$23)))))</formula1>
    </dataValidation>
    <dataValidation type="list" allowBlank="1" showInputMessage="1" showErrorMessage="1" sqref="L8" xr:uid="{DF7F050E-CFF3-40A3-8C89-91A031E229F4}">
      <formula1>IF($AN$23=1, $AJ$47:$AJ$49, IF($AN$23=2, $AJ$100:$AJ$101, IF($AN$23=3, $AJ$130:$AJ$134, IF($AN$23=4, $AJ$171:$AJ$172, IF($AN$23=5, $AJ$171:$AJ$172,$M$23)))))</formula1>
    </dataValidation>
    <dataValidation type="list" allowBlank="1" showInputMessage="1" showErrorMessage="1" sqref="K8" xr:uid="{08051272-D721-4860-A432-793D7B73BACA}">
      <formula1>IF($Z$23=1, $V$47:$V$49, IF($Z$23=2, $V$100:$V$101, IF($Z$23=3,$V$130:$V$134, IF($Z$23=4, $V$171:$V$172, IF($Z$23=5, $V$171:$V$172,$M$23)))))</formula1>
    </dataValidation>
    <dataValidation type="list" allowBlank="1" showInputMessage="1" showErrorMessage="1" sqref="J9" xr:uid="{0E0733D7-2950-4D5B-B824-8F3AB7B6D711}">
      <formula1>IF(K23=1,IF(J47=1,$G$33:$G$41,IF(J47=2, $G$33:$G$41, IF(J47=3, $L$33:$L$39,""))),IF(K23=2,$G$88:$G$96,IF(K23=3,IF($K$130=1,$G$119,$L$119:$L$126), IF(K23=4, $G$161:$G$168,IF(K23=5, $G$161:$G$168,$M$23)))))</formula1>
    </dataValidation>
    <dataValidation type="list" allowBlank="1" showInputMessage="1" showErrorMessage="1" sqref="J8" xr:uid="{518009A1-6BB0-4467-B23C-7BFAE59D7ABB}">
      <formula1>IF($K$23=1, $G$47:$G$49, IF($K$23=2, $G$100:$G$101, IF($K$23=3, $G$130:$G$134, IF($K$23=4, $G$171:$G$172, IF($K$23=5,$G$171:$G$172, M23)))))</formula1>
    </dataValidation>
    <dataValidation type="list" allowBlank="1" showInputMessage="1" showErrorMessage="1" sqref="K9" xr:uid="{61AB1F73-0EB0-439E-9CA2-F2D006AFC8E2}">
      <formula1>IF(Z23=1,IF(Y47=1,$V$33:$V$41,IF(Y47=2, $V$33:$V$41, IF(Y47=3, $AA$33:$AA$39,""))),IF(Z23=2,$V$89:$V$97,IF(Z23=3,IF($Z$130=1,$V$119,$AA$119:$AA$126), IF(Z23=4, $V$161:$V$168, IF(Z23=5, $V$161:$V$168,$M$23)))))</formula1>
    </dataValidation>
    <dataValidation type="list" allowBlank="1" showInputMessage="1" showErrorMessage="1" sqref="L9" xr:uid="{A769E86A-FACC-4CB0-9C91-FC4E508CDCED}">
      <formula1>IF(AN23=1,IF(AM47=1,$AJ$32:$AJ$40,IF(AM47=2, $AJ$32:$AJ$40, IF(AM47=3, $AO$32:$AO$38,""))),IF(AN23=2,$AJ$89:$AJ$97,IF(AN23=3,IF($AN$130=1,$AJ$119,$AO$119:$AO$126), IF(AN23=4, $AJ$161:$AJ$168,IF(AN23=5, $AJ$161:$AJ$168,$M$23)))))</formula1>
    </dataValidation>
    <dataValidation type="list" allowBlank="1" showInputMessage="1" showErrorMessage="1" sqref="M9" xr:uid="{913F0F7C-6F32-4219-9D03-593D1D140AEB}">
      <formula1>IF(BB23=1,IF(BA47=1,$AX$32:$AX$40,IF(BA47=2, $AX$32:$AX$40, IF(BA47=3, $BC$32:$BC$38,""))),IF(BB23=2,$AX$89:$AX$97,IF(BB23=3,IF($BB$130=1,$AX$119,$BC$119:$BC$126), IF(BB23=4, $AX$161:$AX$168, IF(BB23=5, $AX$161:$AX$168,$M$23)))))</formula1>
    </dataValidation>
    <dataValidation type="list" allowBlank="1" showInputMessage="1" showErrorMessage="1" sqref="N9" xr:uid="{1B4E578C-3F4C-4B35-8930-9E2A5A300B69}">
      <formula1>IF(BP23=1,IF(BO47=1,$BL$31:$BL$39,IF(BO47=2, $BL$31:$BL$39, IF(BO47=3, $BQ$31:$BQ$37,""))),IF(BP23=2,$BL$89:$BL$97,IF(BP23=3,IF($BP$130=1,$BL$119,$BQ$119:$BQ$126), IF(BP23=4, $BL$161:$BL$168,IF(BP23=5, $BL$161:$BL$168,$M$23)))))</formula1>
    </dataValidation>
    <dataValidation type="list" allowBlank="1" showInputMessage="1" showErrorMessage="1" sqref="O9" xr:uid="{D96D091D-44AD-4ECF-8927-1B83CFB258B9}">
      <formula1>IF(CA23=1,IF(BZ47=1,$BW$31:$BW$39,IF(BZ47=2, $BW$31:$BW$39, IF(BZ47=3, $CB$31:$CB$37,""))),IF(CA23=2,$BW$89:$BW$97,IF(CA23=3,IF($CA$130=1,$BW$119,$CB$119:$CB$126), IF(CA23=4, $BW$161:$BW$168,IF(CA23=5, $BW$161:$BW$168,$M$23)))))</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5CA39-BB92-47C4-8F70-FB39AC130575}">
  <dimension ref="E2:J11"/>
  <sheetViews>
    <sheetView zoomScale="70" zoomScaleNormal="70" workbookViewId="0">
      <selection activeCell="L28" sqref="L28"/>
    </sheetView>
  </sheetViews>
  <sheetFormatPr defaultColWidth="9.140625" defaultRowHeight="15"/>
  <cols>
    <col min="1" max="4" width="9.140625" style="1"/>
    <col min="5" max="5" width="2.5703125" style="1" customWidth="1"/>
    <col min="6" max="6" width="22.85546875" style="1" hidden="1" customWidth="1"/>
    <col min="7" max="7" width="17.28515625" style="1" customWidth="1"/>
    <col min="8" max="8" width="36" style="1" bestFit="1" customWidth="1"/>
    <col min="9" max="9" width="30.42578125" style="1" bestFit="1" customWidth="1"/>
    <col min="10" max="10" width="2.5703125" style="1" customWidth="1"/>
    <col min="11" max="16384" width="9.140625" style="1"/>
  </cols>
  <sheetData>
    <row r="2" spans="5:10">
      <c r="E2" s="30"/>
      <c r="F2" s="29"/>
      <c r="G2" s="29"/>
      <c r="H2" s="29"/>
      <c r="I2" s="29"/>
      <c r="J2" s="28"/>
    </row>
    <row r="3" spans="5:10">
      <c r="E3" s="23"/>
      <c r="F3" s="135" t="s">
        <v>110</v>
      </c>
      <c r="G3" s="167"/>
      <c r="H3" s="167"/>
      <c r="I3" s="167"/>
      <c r="J3" s="22"/>
    </row>
    <row r="4" spans="5:10">
      <c r="E4" s="23"/>
      <c r="F4" s="167"/>
      <c r="G4" s="167"/>
      <c r="H4" s="167"/>
      <c r="I4" s="167"/>
      <c r="J4" s="22"/>
    </row>
    <row r="5" spans="5:10">
      <c r="E5" s="23"/>
      <c r="F5" s="132" t="s">
        <v>111</v>
      </c>
      <c r="G5" s="133" t="s">
        <v>112</v>
      </c>
      <c r="H5" s="133" t="s">
        <v>113</v>
      </c>
      <c r="I5" s="133" t="s">
        <v>114</v>
      </c>
      <c r="J5" s="22"/>
    </row>
    <row r="6" spans="5:10" ht="15" customHeight="1">
      <c r="E6" s="23"/>
      <c r="F6" s="81" t="s">
        <v>115</v>
      </c>
      <c r="G6" s="82" t="s">
        <v>116</v>
      </c>
      <c r="H6" s="81" t="s">
        <v>117</v>
      </c>
      <c r="I6" s="82" t="s">
        <v>118</v>
      </c>
      <c r="J6" s="22"/>
    </row>
    <row r="7" spans="5:10">
      <c r="E7" s="23"/>
      <c r="F7" s="83"/>
      <c r="G7" s="84" t="s">
        <v>120</v>
      </c>
      <c r="H7" s="134" t="s">
        <v>117</v>
      </c>
      <c r="I7" s="83" t="s">
        <v>121</v>
      </c>
      <c r="J7" s="22"/>
    </row>
    <row r="8" spans="5:10">
      <c r="E8" s="23"/>
      <c r="F8" s="85"/>
      <c r="G8" s="85"/>
      <c r="H8" s="86"/>
      <c r="I8" s="86"/>
      <c r="J8" s="22"/>
    </row>
    <row r="9" spans="5:10">
      <c r="E9" s="21"/>
      <c r="F9" s="19"/>
      <c r="G9" s="19"/>
      <c r="H9" s="19"/>
      <c r="I9" s="19"/>
      <c r="J9" s="18"/>
    </row>
    <row r="11" spans="5:10">
      <c r="G11" s="87" t="s">
        <v>119</v>
      </c>
    </row>
  </sheetData>
  <sheetProtection algorithmName="SHA-512" hashValue="ywVmm7BaVrXBWLmgx/5ji47N3RWsLc+4iEty5IFRtdyq2RpnXd11FBjwCsftvuZRdqgkVti293H5mhmABKxIlA==" saltValue="8sH/P+jgpJfnGzNkbsCN3w==" spinCount="100000" sheet="1" objects="1" scenarios="1"/>
  <mergeCells count="1">
    <mergeCell ref="F3:I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B1C0D-59D7-4A25-8A5C-3ECA1AF086A2}">
  <dimension ref="A1"/>
  <sheetViews>
    <sheetView zoomScale="70" zoomScaleNormal="70" workbookViewId="0">
      <selection activeCell="Q25" sqref="Q25"/>
    </sheetView>
  </sheetViews>
  <sheetFormatPr defaultRowHeight="1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B55E5-EB4B-4931-9BF5-0402F230D6EB}">
  <dimension ref="A1"/>
  <sheetViews>
    <sheetView workbookViewId="0">
      <selection activeCell="N16" sqref="N16"/>
    </sheetView>
  </sheetViews>
  <sheetFormatPr defaultRowHeight="1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76399d7-00f3-45ce-9e6b-d5f8fc0c91a5" xsi:nil="true"/>
    <lcf76f155ced4ddcb4097134ff3c332f xmlns="10e4ba4f-5857-40f8-9c97-8e4a89091d60">
      <Terms xmlns="http://schemas.microsoft.com/office/infopath/2007/PartnerControls"/>
    </lcf76f155ced4ddcb4097134ff3c332f>
    <_Flow_SignoffStatus xmlns="10e4ba4f-5857-40f8-9c97-8e4a89091d6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C67B5D35E21D0B428D793AA6710A2F6D" ma:contentTypeVersion="13" ma:contentTypeDescription="Kurkite naują dokumentą." ma:contentTypeScope="" ma:versionID="037f591fa3e6fd7db150906fb18ad237">
  <xsd:schema xmlns:xsd="http://www.w3.org/2001/XMLSchema" xmlns:xs="http://www.w3.org/2001/XMLSchema" xmlns:p="http://schemas.microsoft.com/office/2006/metadata/properties" xmlns:ns2="10e4ba4f-5857-40f8-9c97-8e4a89091d60" xmlns:ns3="e76399d7-00f3-45ce-9e6b-d5f8fc0c91a5" targetNamespace="http://schemas.microsoft.com/office/2006/metadata/properties" ma:root="true" ma:fieldsID="9b5eb3272318246d52878e8a3847b068" ns2:_="" ns3:_="">
    <xsd:import namespace="10e4ba4f-5857-40f8-9c97-8e4a89091d60"/>
    <xsd:import namespace="e76399d7-00f3-45ce-9e6b-d5f8fc0c91a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e4ba4f-5857-40f8-9c97-8e4a89091d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Vaizdų žymės" ma:readOnly="false" ma:fieldId="{5cf76f15-5ced-4ddc-b409-7134ff3c332f}" ma:taxonomyMulti="true" ma:sspId="993cf2ba-b7a7-49f7-97d1-76e12a88c41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Flow_SignoffStatus" ma:index="19" nillable="true" ma:displayName="Atsijungimo būsena" ma:internalName="Atsijungimo_x0020_b_x016b_sena">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6399d7-00f3-45ce-9e6b-d5f8fc0c91a5"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e9d473b-569d-4e6b-bba3-c08597506421}" ma:internalName="TaxCatchAll" ma:showField="CatchAllData" ma:web="e76399d7-00f3-45ce-9e6b-d5f8fc0c91a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Bendrinta su išsamia informacij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D76334-C788-4839-AE0D-DD7AB1D9FC7E}">
  <ds:schemaRefs>
    <ds:schemaRef ds:uri="http://schemas.microsoft.com/sharepoint/v3/contenttype/forms"/>
  </ds:schemaRefs>
</ds:datastoreItem>
</file>

<file path=customXml/itemProps2.xml><?xml version="1.0" encoding="utf-8"?>
<ds:datastoreItem xmlns:ds="http://schemas.openxmlformats.org/officeDocument/2006/customXml" ds:itemID="{7548FC7F-CEB1-489E-879F-3082855D308D}">
  <ds:schemaRefs>
    <ds:schemaRef ds:uri="e76399d7-00f3-45ce-9e6b-d5f8fc0c91a5"/>
    <ds:schemaRef ds:uri="http://purl.org/dc/terms/"/>
    <ds:schemaRef ds:uri="http://purl.org/dc/elements/1.1/"/>
    <ds:schemaRef ds:uri="http://purl.org/dc/dcmitype/"/>
    <ds:schemaRef ds:uri="http://schemas.microsoft.com/office/2006/documentManagement/types"/>
    <ds:schemaRef ds:uri="10e4ba4f-5857-40f8-9c97-8e4a89091d60"/>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19711A5-0885-45AE-9293-825C2553C1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e4ba4f-5857-40f8-9c97-8e4a89091d60"/>
    <ds:schemaRef ds:uri="e76399d7-00f3-45ce-9e6b-d5f8fc0c91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Darbalapiai</vt:lpstr>
      </vt:variant>
      <vt:variant>
        <vt:i4>6</vt:i4>
      </vt:variant>
    </vt:vector>
  </HeadingPairs>
  <TitlesOfParts>
    <vt:vector size="6" baseType="lpstr">
      <vt:lpstr>Pradžia</vt:lpstr>
      <vt:lpstr>Naudojimosi instrukcija</vt:lpstr>
      <vt:lpstr>Skaičiuoklė</vt:lpstr>
      <vt:lpstr>Atnaujinimas</vt:lpstr>
      <vt:lpstr>Sheet1</vt:lpstr>
      <vt:lpstr>sena instrukcija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Agnė Skeirytė</dc:creator>
  <cp:keywords/>
  <dc:description/>
  <cp:revision/>
  <dcterms:created xsi:type="dcterms:W3CDTF">2023-11-07T12:58:00Z</dcterms:created>
  <dcterms:modified xsi:type="dcterms:W3CDTF">2025-09-17T06:47:24Z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0x010100C67B5D35E21D0B428D793AA6710A2F6D</vt:lpwstr>
  </property>
  <property fmtid="{D5CDD505-2E9C-101B-9397-08002B2CF9AE}" pid="3" name="MediaServiceImageTags">
    <vt:lpwstr/>
  </property>
</Properties>
</file>