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Šios_darbaknygės"/>
  <mc:AlternateContent xmlns:mc="http://schemas.openxmlformats.org/markup-compatibility/2006">
    <mc:Choice Requires="x15">
      <x15ac:absPath xmlns:x15ac="http://schemas.microsoft.com/office/spreadsheetml/2010/11/ac" url="C:\Users\RūtaPašiškevičiūtė\Downloads\Skaiciuokliu atnaujinimui\2025 me redakcijos\"/>
    </mc:Choice>
  </mc:AlternateContent>
  <xr:revisionPtr revIDLastSave="0" documentId="13_ncr:1_{3277CB09-5FF8-4CF0-A9A3-A836E9B1CF8D}" xr6:coauthVersionLast="47" xr6:coauthVersionMax="47" xr10:uidLastSave="{00000000-0000-0000-0000-000000000000}"/>
  <bookViews>
    <workbookView xWindow="-110" yWindow="-110" windowWidth="19420" windowHeight="11500" tabRatio="611" activeTab="4" xr2:uid="{55D20531-3650-415C-BAA1-FA1448956C03}"/>
  </bookViews>
  <sheets>
    <sheet name="PRADŽIA" sheetId="54" r:id="rId1"/>
    <sheet name="INSTRUKCIJA" sheetId="56" state="hidden" r:id="rId2"/>
    <sheet name="NAUDOJIMOSI INSTRUKCIJA" sheetId="57" r:id="rId3"/>
    <sheet name="SKAIČIUOKLĖ" sheetId="55" r:id="rId4"/>
    <sheet name="ATNAUJINIMAS" sheetId="46" r:id="rId5"/>
  </sheets>
  <externalReferences>
    <externalReference r:id="rId6"/>
  </externalReferences>
  <definedNames>
    <definedName name="_xlnm._FilterDatabase" localSheetId="3" hidden="1">SKAIČIUOKLĖ!$T$1:$T$103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9" i="55" l="1"/>
  <c r="J48" i="55"/>
  <c r="J50" i="55"/>
  <c r="BK60" i="55"/>
  <c r="BH60" i="55"/>
  <c r="BG60" i="55"/>
  <c r="AY60" i="55"/>
  <c r="AV60" i="55"/>
  <c r="AU60" i="55"/>
  <c r="AM60" i="55"/>
  <c r="AJ60" i="55"/>
  <c r="AI60" i="55"/>
  <c r="AA60" i="55"/>
  <c r="X60" i="55"/>
  <c r="W60" i="55"/>
  <c r="BK59" i="55"/>
  <c r="BH59" i="55"/>
  <c r="BG59" i="55"/>
  <c r="AY59" i="55"/>
  <c r="AV59" i="55"/>
  <c r="AU59" i="55"/>
  <c r="AM59" i="55"/>
  <c r="AJ59" i="55"/>
  <c r="AI59" i="55"/>
  <c r="AA59" i="55"/>
  <c r="X59" i="55"/>
  <c r="W59" i="55"/>
  <c r="BK58" i="55"/>
  <c r="BH58" i="55"/>
  <c r="BG58" i="55"/>
  <c r="AY58" i="55"/>
  <c r="AV58" i="55"/>
  <c r="AU58" i="55"/>
  <c r="AM58" i="55"/>
  <c r="AJ58" i="55"/>
  <c r="AI58" i="55"/>
  <c r="AA58" i="55"/>
  <c r="X58" i="55"/>
  <c r="W58" i="55"/>
  <c r="BK57" i="55"/>
  <c r="BH57" i="55"/>
  <c r="BG57" i="55"/>
  <c r="AY57" i="55"/>
  <c r="AV57" i="55"/>
  <c r="AU57" i="55"/>
  <c r="AM57" i="55"/>
  <c r="AJ57" i="55"/>
  <c r="AI57" i="55"/>
  <c r="AA57" i="55"/>
  <c r="X57" i="55"/>
  <c r="W57" i="55"/>
  <c r="BK52" i="55"/>
  <c r="BH52" i="55"/>
  <c r="BG52" i="55"/>
  <c r="AY52" i="55"/>
  <c r="AV52" i="55"/>
  <c r="AU52" i="55"/>
  <c r="AM52" i="55"/>
  <c r="AJ52" i="55"/>
  <c r="AI52" i="55"/>
  <c r="AA52" i="55"/>
  <c r="X52" i="55"/>
  <c r="W52" i="55"/>
  <c r="BK51" i="55"/>
  <c r="BH51" i="55"/>
  <c r="BG51" i="55"/>
  <c r="AY51" i="55"/>
  <c r="AV51" i="55"/>
  <c r="AU51" i="55"/>
  <c r="AM51" i="55"/>
  <c r="AJ51" i="55"/>
  <c r="AI51" i="55"/>
  <c r="AA51" i="55"/>
  <c r="X51" i="55"/>
  <c r="W51" i="55"/>
  <c r="BK50" i="55"/>
  <c r="BH50" i="55"/>
  <c r="BG50" i="55"/>
  <c r="AY50" i="55"/>
  <c r="AV50" i="55"/>
  <c r="AU50" i="55"/>
  <c r="AM50" i="55"/>
  <c r="AJ50" i="55"/>
  <c r="AI50" i="55"/>
  <c r="AA50" i="55"/>
  <c r="X50" i="55"/>
  <c r="W50" i="55"/>
  <c r="BK49" i="55"/>
  <c r="BH49" i="55"/>
  <c r="BG49" i="55"/>
  <c r="AY49" i="55"/>
  <c r="AV49" i="55"/>
  <c r="AU49" i="55"/>
  <c r="AM49" i="55"/>
  <c r="AJ49" i="55"/>
  <c r="AI49" i="55"/>
  <c r="AA49" i="55"/>
  <c r="X49" i="55"/>
  <c r="W49" i="55"/>
  <c r="BK45" i="55"/>
  <c r="BH45" i="55"/>
  <c r="BG45" i="55"/>
  <c r="AY45" i="55"/>
  <c r="AV45" i="55"/>
  <c r="AU45" i="55"/>
  <c r="AM45" i="55"/>
  <c r="AJ45" i="55"/>
  <c r="AI45" i="55"/>
  <c r="AA45" i="55"/>
  <c r="X45" i="55"/>
  <c r="W45" i="55"/>
  <c r="BK44" i="55"/>
  <c r="BH44" i="55"/>
  <c r="BG44" i="55"/>
  <c r="AY44" i="55"/>
  <c r="AV44" i="55"/>
  <c r="AU44" i="55"/>
  <c r="AM44" i="55"/>
  <c r="AJ44" i="55"/>
  <c r="AI44" i="55"/>
  <c r="AA44" i="55"/>
  <c r="X44" i="55"/>
  <c r="W44" i="55"/>
  <c r="BK43" i="55"/>
  <c r="BH43" i="55"/>
  <c r="BG43" i="55"/>
  <c r="AY43" i="55"/>
  <c r="AV43" i="55"/>
  <c r="AU43" i="55"/>
  <c r="AM43" i="55"/>
  <c r="AJ43" i="55"/>
  <c r="AI43" i="55"/>
  <c r="AA43" i="55"/>
  <c r="X43" i="55"/>
  <c r="W43" i="55"/>
  <c r="BK42" i="55"/>
  <c r="BH42" i="55"/>
  <c r="BG42" i="55"/>
  <c r="AY42" i="55"/>
  <c r="AV42" i="55"/>
  <c r="AU42" i="55"/>
  <c r="AM42" i="55"/>
  <c r="AJ42" i="55"/>
  <c r="AI42" i="55"/>
  <c r="AA42" i="55"/>
  <c r="X42" i="55"/>
  <c r="W42" i="55"/>
  <c r="BK37" i="55"/>
  <c r="BH37" i="55"/>
  <c r="BG37" i="55"/>
  <c r="AY37" i="55"/>
  <c r="AV37" i="55"/>
  <c r="AU37" i="55"/>
  <c r="AM37" i="55"/>
  <c r="AJ37" i="55"/>
  <c r="AI37" i="55"/>
  <c r="AA37" i="55"/>
  <c r="X37" i="55"/>
  <c r="W37" i="55"/>
  <c r="BK36" i="55"/>
  <c r="BH36" i="55"/>
  <c r="BG36" i="55"/>
  <c r="AY36" i="55"/>
  <c r="AV36" i="55"/>
  <c r="AU36" i="55"/>
  <c r="AM36" i="55"/>
  <c r="AJ36" i="55"/>
  <c r="AI36" i="55"/>
  <c r="AA36" i="55"/>
  <c r="X36" i="55"/>
  <c r="W36" i="55"/>
  <c r="BK35" i="55"/>
  <c r="BH35" i="55"/>
  <c r="BG35" i="55"/>
  <c r="AY35" i="55"/>
  <c r="AV35" i="55"/>
  <c r="AU35" i="55"/>
  <c r="AM35" i="55"/>
  <c r="AJ35" i="55"/>
  <c r="AI35" i="55"/>
  <c r="AA35" i="55"/>
  <c r="X35" i="55"/>
  <c r="W35" i="55"/>
  <c r="BK34" i="55"/>
  <c r="BH34" i="55"/>
  <c r="BG34" i="55"/>
  <c r="AY34" i="55"/>
  <c r="AV34" i="55"/>
  <c r="AU34" i="55"/>
  <c r="AM34" i="55"/>
  <c r="AJ34" i="55"/>
  <c r="AI34" i="55"/>
  <c r="AA34" i="55"/>
  <c r="X34" i="55"/>
  <c r="W34" i="55"/>
  <c r="BK29" i="55"/>
  <c r="BH29" i="55"/>
  <c r="BG29" i="55"/>
  <c r="AY29" i="55"/>
  <c r="AV29" i="55"/>
  <c r="AU29" i="55"/>
  <c r="AM29" i="55"/>
  <c r="AJ29" i="55"/>
  <c r="AI29" i="55"/>
  <c r="AA29" i="55"/>
  <c r="X29" i="55"/>
  <c r="W29" i="55"/>
  <c r="BK28" i="55"/>
  <c r="BH28" i="55"/>
  <c r="BG28" i="55"/>
  <c r="AY28" i="55"/>
  <c r="AV28" i="55"/>
  <c r="AU28" i="55"/>
  <c r="AM28" i="55"/>
  <c r="AJ28" i="55"/>
  <c r="AI28" i="55"/>
  <c r="AA28" i="55"/>
  <c r="X28" i="55"/>
  <c r="W28" i="55"/>
  <c r="BK27" i="55"/>
  <c r="BH27" i="55"/>
  <c r="BG27" i="55"/>
  <c r="AY27" i="55"/>
  <c r="AV27" i="55"/>
  <c r="AU27" i="55"/>
  <c r="AM27" i="55"/>
  <c r="AJ27" i="55"/>
  <c r="AI27" i="55"/>
  <c r="AA27" i="55"/>
  <c r="X27" i="55"/>
  <c r="W27" i="55"/>
  <c r="BK26" i="55"/>
  <c r="BH26" i="55"/>
  <c r="BG26" i="55"/>
  <c r="AY26" i="55"/>
  <c r="AV26" i="55"/>
  <c r="AU26" i="55"/>
  <c r="AM26" i="55"/>
  <c r="AJ26" i="55"/>
  <c r="AI26" i="55"/>
  <c r="AA26" i="55"/>
  <c r="X26" i="55"/>
  <c r="W26" i="55"/>
  <c r="BK21" i="55"/>
  <c r="BH21" i="55"/>
  <c r="BG21" i="55"/>
  <c r="AY21" i="55"/>
  <c r="AV21" i="55"/>
  <c r="AU21" i="55"/>
  <c r="AM21" i="55"/>
  <c r="AJ21" i="55"/>
  <c r="AI21" i="55"/>
  <c r="AA21" i="55"/>
  <c r="X21" i="55"/>
  <c r="W21" i="55"/>
  <c r="BK20" i="55"/>
  <c r="BH20" i="55"/>
  <c r="BG20" i="55"/>
  <c r="AY20" i="55"/>
  <c r="AV20" i="55"/>
  <c r="AU20" i="55"/>
  <c r="AM20" i="55"/>
  <c r="AJ20" i="55"/>
  <c r="AI20" i="55"/>
  <c r="AA20" i="55"/>
  <c r="X20" i="55"/>
  <c r="W20" i="55"/>
  <c r="BK19" i="55"/>
  <c r="BH19" i="55"/>
  <c r="BG19" i="55"/>
  <c r="AY19" i="55"/>
  <c r="AV19" i="55"/>
  <c r="AU19" i="55"/>
  <c r="AM19" i="55"/>
  <c r="AJ19" i="55"/>
  <c r="AI19" i="55"/>
  <c r="AA19" i="55"/>
  <c r="X19" i="55"/>
  <c r="W19" i="55"/>
  <c r="BK18" i="55"/>
  <c r="BH18" i="55"/>
  <c r="BG18" i="55"/>
  <c r="AY18" i="55"/>
  <c r="AV18" i="55"/>
  <c r="AU18" i="55"/>
  <c r="AM18" i="55"/>
  <c r="AJ18" i="55"/>
  <c r="AI18" i="55"/>
  <c r="AA18" i="55"/>
  <c r="X18" i="55"/>
  <c r="W18" i="55"/>
  <c r="BK14" i="55"/>
  <c r="BH14" i="55"/>
  <c r="BG14" i="55"/>
  <c r="AY14" i="55"/>
  <c r="AV14" i="55"/>
  <c r="AU14" i="55"/>
  <c r="AM14" i="55"/>
  <c r="AJ14" i="55"/>
  <c r="AI14" i="55"/>
  <c r="AA14" i="55"/>
  <c r="X14" i="55"/>
  <c r="W14" i="55"/>
  <c r="BK13" i="55"/>
  <c r="BH13" i="55"/>
  <c r="BG13" i="55"/>
  <c r="AY13" i="55"/>
  <c r="AV13" i="55"/>
  <c r="AU13" i="55"/>
  <c r="AM13" i="55"/>
  <c r="AJ13" i="55"/>
  <c r="AI13" i="55"/>
  <c r="AA13" i="55"/>
  <c r="X13" i="55"/>
  <c r="W13" i="55"/>
  <c r="BK12" i="55"/>
  <c r="BH12" i="55"/>
  <c r="BG12" i="55"/>
  <c r="AY12" i="55"/>
  <c r="AV12" i="55"/>
  <c r="AU12" i="55"/>
  <c r="AM12" i="55"/>
  <c r="AJ12" i="55"/>
  <c r="AI12" i="55"/>
  <c r="AA12" i="55"/>
  <c r="X12" i="55"/>
  <c r="W12" i="55"/>
  <c r="BK11" i="55"/>
  <c r="BH11" i="55"/>
  <c r="BG11" i="55"/>
  <c r="AY11" i="55"/>
  <c r="AV11" i="55"/>
  <c r="AU11" i="55"/>
  <c r="AM11" i="55"/>
  <c r="AJ11" i="55"/>
  <c r="AI11" i="55"/>
  <c r="AA11" i="55"/>
  <c r="X11" i="55"/>
  <c r="W11" i="55"/>
  <c r="BK6" i="55"/>
  <c r="BH6" i="55"/>
  <c r="BG6" i="55"/>
  <c r="AY6" i="55"/>
  <c r="AV6" i="55"/>
  <c r="AU6" i="55"/>
  <c r="AM6" i="55"/>
  <c r="AJ6" i="55"/>
  <c r="AI6" i="55"/>
  <c r="AA6" i="55"/>
  <c r="X6" i="55"/>
  <c r="W6" i="55"/>
  <c r="BK5" i="55"/>
  <c r="BH5" i="55"/>
  <c r="BG5" i="55"/>
  <c r="AY5" i="55"/>
  <c r="AV5" i="55"/>
  <c r="AU5" i="55"/>
  <c r="AM5" i="55"/>
  <c r="AJ5" i="55"/>
  <c r="AI5" i="55"/>
  <c r="AA5" i="55"/>
  <c r="X5" i="55"/>
  <c r="W5" i="55"/>
  <c r="BK4" i="55"/>
  <c r="BH4" i="55"/>
  <c r="BG4" i="55"/>
  <c r="AY4" i="55"/>
  <c r="AV4" i="55"/>
  <c r="AU4" i="55"/>
  <c r="AM4" i="55"/>
  <c r="AJ4" i="55"/>
  <c r="AI4" i="55"/>
  <c r="AA4" i="55"/>
  <c r="X4" i="55"/>
  <c r="W4" i="55"/>
  <c r="BK3" i="55"/>
  <c r="BH3" i="55"/>
  <c r="BG3" i="55"/>
  <c r="AY3" i="55"/>
  <c r="AV3" i="55"/>
  <c r="AU3" i="55"/>
  <c r="AM3" i="55"/>
  <c r="AJ3" i="55"/>
  <c r="AI3" i="55"/>
  <c r="AD3" i="55"/>
  <c r="AA3" i="55"/>
  <c r="X3" i="55"/>
  <c r="W3" i="55"/>
  <c r="AN57" i="55" l="1"/>
  <c r="O18" i="55" s="1" a="1"/>
  <c r="O18" i="55" s="1"/>
  <c r="AN26" i="55"/>
  <c r="K24" i="55" s="1" a="1"/>
  <c r="K24" i="55" s="1"/>
  <c r="AB49" i="55"/>
  <c r="N14" i="55" s="1" a="1"/>
  <c r="N14" i="55" s="1"/>
  <c r="AN14" i="55"/>
  <c r="AN34" i="55"/>
  <c r="L38" i="55" s="1" a="1"/>
  <c r="L38" i="55" s="1"/>
  <c r="AZ49" i="55"/>
  <c r="AB11" i="55"/>
  <c r="I14" i="55" s="1" a="1"/>
  <c r="I14" i="55" s="1"/>
  <c r="AN58" i="55"/>
  <c r="AN5" i="55"/>
  <c r="AB42" i="55"/>
  <c r="AN12" i="55"/>
  <c r="AN3" i="55"/>
  <c r="H18" i="55" s="1" a="1"/>
  <c r="H18" i="55" s="1"/>
  <c r="AN13" i="55"/>
  <c r="AN11" i="55"/>
  <c r="I18" i="55" s="1" a="1"/>
  <c r="I18" i="55" s="1"/>
  <c r="AB34" i="55"/>
  <c r="L14" i="55" s="1" a="1"/>
  <c r="L14" i="55" s="1"/>
  <c r="AB3" i="55"/>
  <c r="BL26" i="55"/>
  <c r="K38" i="55" s="1" a="1"/>
  <c r="K38" i="55" s="1"/>
  <c r="AN6" i="55"/>
  <c r="AN44" i="55"/>
  <c r="AB51" i="55"/>
  <c r="AN20" i="55"/>
  <c r="AZ42" i="55"/>
  <c r="AN52" i="55"/>
  <c r="BL11" i="55"/>
  <c r="I38" i="55" s="1" a="1"/>
  <c r="I38" i="55" s="1"/>
  <c r="AN19" i="55"/>
  <c r="AN4" i="55"/>
  <c r="AZ26" i="55"/>
  <c r="K34" i="55" s="1" a="1"/>
  <c r="K34" i="55" s="1"/>
  <c r="AN51" i="55"/>
  <c r="AN43" i="55"/>
  <c r="AB59" i="55"/>
  <c r="BL49" i="55"/>
  <c r="N44" i="55" s="1" a="1"/>
  <c r="N44" i="55" s="1"/>
  <c r="AB57" i="55"/>
  <c r="BL3" i="55"/>
  <c r="H38" i="55" s="1" a="1"/>
  <c r="H38" i="55" s="1"/>
  <c r="AB26" i="55"/>
  <c r="K8" i="55" s="1" a="1"/>
  <c r="K8" i="55" s="1"/>
  <c r="AN50" i="55"/>
  <c r="AZ11" i="55"/>
  <c r="I34" i="55" s="1" a="1"/>
  <c r="I34" i="55" s="1"/>
  <c r="AZ35" i="55"/>
  <c r="AN29" i="55"/>
  <c r="AN42" i="55"/>
  <c r="M38" i="55" s="1" a="1"/>
  <c r="M38" i="55" s="1"/>
  <c r="AN18" i="55"/>
  <c r="J18" i="55" s="1" a="1"/>
  <c r="J18" i="55" s="1"/>
  <c r="AN35" i="55"/>
  <c r="AN49" i="55"/>
  <c r="N28" i="55" s="1" a="1"/>
  <c r="N28" i="55" s="1"/>
  <c r="AZ3" i="55"/>
  <c r="H28" i="55" s="1" a="1"/>
  <c r="H28" i="55" s="1"/>
  <c r="AN27" i="55"/>
  <c r="AN28" i="55"/>
  <c r="AN37" i="55"/>
  <c r="AB45" i="55"/>
  <c r="AN21" i="55"/>
  <c r="AZ34" i="55"/>
  <c r="L34" i="55" s="1" a="1"/>
  <c r="L34" i="55" s="1"/>
  <c r="AN45" i="55"/>
  <c r="AN60" i="55"/>
  <c r="BL60" i="55"/>
  <c r="BL52" i="55"/>
  <c r="BL50" i="55"/>
  <c r="BL43" i="55"/>
  <c r="BL37" i="55"/>
  <c r="BL35" i="55"/>
  <c r="BL29" i="55"/>
  <c r="BL27" i="55"/>
  <c r="BL21" i="55"/>
  <c r="BL19" i="55"/>
  <c r="BL14" i="55"/>
  <c r="BL12" i="55"/>
  <c r="BL4" i="55"/>
  <c r="BL45" i="55"/>
  <c r="BL6" i="55"/>
  <c r="BL51" i="55"/>
  <c r="BL44" i="55"/>
  <c r="BL36" i="55"/>
  <c r="BL28" i="55"/>
  <c r="BL18" i="55"/>
  <c r="BL13" i="55"/>
  <c r="BL20" i="55"/>
  <c r="BL5" i="55"/>
  <c r="AZ36" i="55"/>
  <c r="AZ44" i="55"/>
  <c r="AZ51" i="55"/>
  <c r="AZ52" i="55"/>
  <c r="AZ50" i="55"/>
  <c r="AZ4" i="55"/>
  <c r="AZ5" i="55"/>
  <c r="AZ6" i="55"/>
  <c r="AZ12" i="55"/>
  <c r="AZ13" i="55"/>
  <c r="AZ14" i="55"/>
  <c r="AZ19" i="55"/>
  <c r="AZ20" i="55"/>
  <c r="AZ21" i="55"/>
  <c r="AZ28" i="55"/>
  <c r="AZ29" i="55"/>
  <c r="AZ18" i="55"/>
  <c r="AZ27" i="55"/>
  <c r="AZ43" i="55"/>
  <c r="AZ57" i="55"/>
  <c r="AZ59" i="55"/>
  <c r="AZ58" i="55"/>
  <c r="AZ60" i="55"/>
  <c r="BL34" i="55"/>
  <c r="L44" i="55" s="1" a="1"/>
  <c r="L44" i="55" s="1"/>
  <c r="AZ37" i="55"/>
  <c r="BL42" i="55"/>
  <c r="M44" i="55" s="1" a="1"/>
  <c r="M44" i="55" s="1"/>
  <c r="AZ45" i="55"/>
  <c r="AN36" i="55"/>
  <c r="AB50" i="55"/>
  <c r="AB52" i="55"/>
  <c r="AB58" i="55"/>
  <c r="AB60" i="55"/>
  <c r="AN59" i="55"/>
  <c r="AB5" i="55"/>
  <c r="AB13" i="55"/>
  <c r="AB18" i="55"/>
  <c r="AB20" i="55"/>
  <c r="AB28" i="55"/>
  <c r="AB36" i="55"/>
  <c r="AB44" i="55"/>
  <c r="BL57" i="55"/>
  <c r="O44" i="55" s="1" a="1"/>
  <c r="O44" i="55" s="1"/>
  <c r="BL59" i="55"/>
  <c r="AB4" i="55"/>
  <c r="AB6" i="55"/>
  <c r="AB12" i="55"/>
  <c r="AB14" i="55"/>
  <c r="AB19" i="55"/>
  <c r="AB21" i="55"/>
  <c r="AB27" i="55"/>
  <c r="AB29" i="55"/>
  <c r="AB35" i="55"/>
  <c r="AB37" i="55"/>
  <c r="AB43" i="55"/>
  <c r="BL58" i="55"/>
  <c r="O38" i="55" l="1" a="1"/>
  <c r="O38" i="55" s="1"/>
  <c r="N8" i="55" a="1"/>
  <c r="N8" i="55" s="1"/>
  <c r="L24" i="55" a="1"/>
  <c r="L24" i="55" s="1"/>
  <c r="L48" i="55" s="1"/>
  <c r="H8" i="55" a="1"/>
  <c r="H8" i="55" s="1"/>
  <c r="H14" i="55" a="1"/>
  <c r="H14" i="55" s="1"/>
  <c r="O28" i="55" a="1"/>
  <c r="O28" i="55" s="1"/>
  <c r="O24" i="55" a="1"/>
  <c r="O24" i="55" s="1"/>
  <c r="K18" i="55" a="1"/>
  <c r="K18" i="55" s="1"/>
  <c r="I24" i="55" a="1"/>
  <c r="I24" i="55" s="1"/>
  <c r="J24" i="55" a="1"/>
  <c r="J24" i="55" s="1"/>
  <c r="L8" i="55" a="1"/>
  <c r="L8" i="55" s="1"/>
  <c r="L28" i="55" a="1"/>
  <c r="L28" i="55" s="1"/>
  <c r="H44" i="55" a="1"/>
  <c r="H44" i="55" s="1"/>
  <c r="L18" i="55" a="1"/>
  <c r="L18" i="55" s="1"/>
  <c r="I8" i="55" a="1"/>
  <c r="I8" i="55" s="1"/>
  <c r="K44" i="55" a="1"/>
  <c r="K44" i="55" s="1"/>
  <c r="M8" i="55" a="1"/>
  <c r="M8" i="55" s="1"/>
  <c r="M14" i="55" a="1"/>
  <c r="M14" i="55" s="1"/>
  <c r="H34" i="55" a="1"/>
  <c r="H34" i="55" s="1"/>
  <c r="H24" i="55" a="1"/>
  <c r="H24" i="55" s="1"/>
  <c r="N18" i="55" a="1"/>
  <c r="N18" i="55" s="1"/>
  <c r="N38" i="55" a="1"/>
  <c r="N38" i="55" s="1"/>
  <c r="N34" i="55" a="1"/>
  <c r="N34" i="55" s="1"/>
  <c r="M18" i="55" a="1"/>
  <c r="M18" i="55" s="1"/>
  <c r="O34" i="55" a="1"/>
  <c r="O34" i="55" s="1"/>
  <c r="M28" i="55" a="1"/>
  <c r="M28" i="55" s="1"/>
  <c r="M34" i="55" a="1"/>
  <c r="M34" i="55" s="1"/>
  <c r="M24" i="55" a="1"/>
  <c r="M24" i="55" s="1"/>
  <c r="I28" i="55" a="1"/>
  <c r="I28" i="55" s="1"/>
  <c r="I44" i="55" a="1"/>
  <c r="I44" i="55" s="1"/>
  <c r="K28" i="55" a="1"/>
  <c r="K28" i="55" s="1"/>
  <c r="O8" i="55" a="1"/>
  <c r="O8" i="55" s="1"/>
  <c r="O14" i="55" a="1"/>
  <c r="O14" i="55" s="1"/>
  <c r="K14" i="55" a="1"/>
  <c r="K14" i="55" s="1"/>
  <c r="N24" i="55" a="1"/>
  <c r="N24" i="55" s="1"/>
  <c r="J34" i="55" a="1"/>
  <c r="J34" i="55" s="1"/>
  <c r="J28" i="55" a="1"/>
  <c r="J28" i="55" s="1"/>
  <c r="J44" i="55" a="1"/>
  <c r="J44" i="55" s="1"/>
  <c r="J38" i="55" a="1"/>
  <c r="J38" i="55" s="1"/>
  <c r="J14" i="55" a="1"/>
  <c r="J14" i="55" s="1"/>
  <c r="J8" i="55" a="1"/>
  <c r="J8" i="55" s="1"/>
  <c r="I48" i="55" l="1"/>
  <c r="O48" i="55"/>
  <c r="H48" i="55"/>
  <c r="H49" i="55" s="1"/>
  <c r="K48" i="55"/>
  <c r="N48" i="55"/>
  <c r="M48" i="55"/>
  <c r="I49" i="55" l="1"/>
  <c r="K49" i="55" s="1"/>
  <c r="L49" i="55" s="1"/>
  <c r="M49" i="55" s="1"/>
  <c r="N49" i="55" s="1"/>
  <c r="O49" i="5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<sst xmlns="http://schemas.openxmlformats.org/spreadsheetml/2006/main" count="565" uniqueCount="46">
  <si>
    <t>Pirma rūšis</t>
  </si>
  <si>
    <t>Duomenys "helper" stulpeliams</t>
  </si>
  <si>
    <t>Dirvožemis</t>
  </si>
  <si>
    <t>Mėšlas</t>
  </si>
  <si>
    <t>Mėšlo tvarkymo sistema</t>
  </si>
  <si>
    <t>Virškinimas</t>
  </si>
  <si>
    <t>Emisija</t>
  </si>
  <si>
    <t>Helper stulpeliai</t>
  </si>
  <si>
    <t>Prognozuojama pop</t>
  </si>
  <si>
    <t>Antra rūšis</t>
  </si>
  <si>
    <t>Trečia rūšis</t>
  </si>
  <si>
    <t>Ketvirta rūšis</t>
  </si>
  <si>
    <t>Dropdown'o pasirinkimai</t>
  </si>
  <si>
    <t>Gyvulio rūšis</t>
  </si>
  <si>
    <t>t CO2 eq. per metus</t>
  </si>
  <si>
    <t>H1</t>
  </si>
  <si>
    <t>H2</t>
  </si>
  <si>
    <t>H3</t>
  </si>
  <si>
    <t>GYVULIŲ POPULIACIJOS REGULIAVIMO POVEIKIO VERTINIMO SKAIČIUOKLĖ</t>
  </si>
  <si>
    <t>Pieninės karvės</t>
  </si>
  <si>
    <t>Kiaulės</t>
  </si>
  <si>
    <t xml:space="preserve">Mėsiniai galvijai </t>
  </si>
  <si>
    <t>Metai</t>
  </si>
  <si>
    <t>Numatyta reikšmė</t>
  </si>
  <si>
    <t>Avys</t>
  </si>
  <si>
    <t>Bazinė  gyvulių populiacija (vnt.)</t>
  </si>
  <si>
    <t>Įveskite</t>
  </si>
  <si>
    <t>-</t>
  </si>
  <si>
    <t xml:space="preserve">*Bazinės gyvulių populiacijos prognozė (vnt.) </t>
  </si>
  <si>
    <t>Projektinė gyvulių populiacija (vnt.)</t>
  </si>
  <si>
    <t xml:space="preserve">Gyvulio rūšis </t>
  </si>
  <si>
    <t>Pasirinkite iš sąrašo</t>
  </si>
  <si>
    <t>Vieno gyvulio išmetamas bazinis ŠESD kiekis, t CO2 ekv.</t>
  </si>
  <si>
    <t xml:space="preserve"> </t>
  </si>
  <si>
    <t>* Valstybės duomenų agentūros duomenys</t>
  </si>
  <si>
    <t>ŠESD kiekio pokytis (kt CO2 ekv.)</t>
  </si>
  <si>
    <t>Rezultatai</t>
  </si>
  <si>
    <t>Kaupiamasis ŠESD kiekio pokytis (kt CO2 ekv.)</t>
  </si>
  <si>
    <t>Suminis ŠESD kiekio pokytis (kt CO2 ekv.)</t>
  </si>
  <si>
    <t>Atnaujinimo data</t>
  </si>
  <si>
    <t>Administratorius</t>
  </si>
  <si>
    <t>Pastabos</t>
  </si>
  <si>
    <t>2024.03.01</t>
  </si>
  <si>
    <t>AAA Aplinkos būklės analitikos centras</t>
  </si>
  <si>
    <t>Versijos viešinimas</t>
  </si>
  <si>
    <t>2025.12.19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</si>
</sst>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000"/>
    <numFmt numFmtId="165" formatCode="_-* #,##0.00\ _L_t_-;\-* #,##0.00\ _L_t_-;_-* &quot;-&quot;??\ _L_t_-;_-@_-"/>
    <numFmt numFmtId="166" formatCode="0.0"/>
    <numFmt numFmtId="167" formatCode="_-* #,##0.0000_-;\-* #,##0.0000_-;_-* &quot;-&quot;??_-;_-@_-"/>
    <numFmt numFmtId="168" formatCode="0.0000000"/>
  </numFmts>
  <fonts count="58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86"/>
    </font>
    <font>
      <u/>
      <sz val="10"/>
      <color indexed="12"/>
      <name val="Arial"/>
      <family val="2"/>
      <charset val="186"/>
    </font>
    <font>
      <sz val="11"/>
      <color indexed="8"/>
      <name val="Calibri"/>
      <family val="2"/>
      <charset val="186"/>
    </font>
    <font>
      <sz val="9"/>
      <name val="Times New Roman"/>
      <family val="1"/>
    </font>
    <font>
      <sz val="12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4"/>
      <color rgb="FFA5D8B7"/>
      <name val="Calibri"/>
      <family val="2"/>
      <charset val="186"/>
      <scheme val="minor"/>
    </font>
    <font>
      <b/>
      <sz val="14"/>
      <color rgb="FF0DA378"/>
      <name val="Calibri"/>
      <family val="2"/>
      <charset val="186"/>
      <scheme val="minor"/>
    </font>
    <font>
      <sz val="14"/>
      <color indexed="55"/>
      <name val="Calibri"/>
      <family val="2"/>
      <charset val="186"/>
      <scheme val="minor"/>
    </font>
    <font>
      <sz val="10"/>
      <color indexed="55"/>
      <name val="Calibri"/>
      <family val="2"/>
      <charset val="186"/>
      <scheme val="minor"/>
    </font>
    <font>
      <b/>
      <sz val="12"/>
      <color theme="3"/>
      <name val="Calibri"/>
      <family val="2"/>
      <charset val="186"/>
      <scheme val="minor"/>
    </font>
    <font>
      <b/>
      <sz val="14"/>
      <color rgb="FF0F5031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sz val="11"/>
      <color rgb="FF808080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808080"/>
      <name val="Calibri"/>
      <family val="2"/>
      <charset val="186"/>
      <scheme val="minor"/>
    </font>
    <font>
      <sz val="11"/>
      <color rgb="FFFF0000"/>
      <name val="Calibri"/>
      <family val="2"/>
      <scheme val="minor"/>
    </font>
    <font>
      <sz val="11"/>
      <name val="Palemon"/>
    </font>
    <font>
      <sz val="12"/>
      <name val="Times New Roman"/>
      <family val="1"/>
      <charset val="186"/>
    </font>
    <font>
      <b/>
      <sz val="10"/>
      <color theme="0"/>
      <name val="Palemonas"/>
    </font>
    <font>
      <sz val="12"/>
      <name val="Palemon"/>
    </font>
    <font>
      <sz val="12"/>
      <color theme="1"/>
      <name val="Palemon"/>
    </font>
    <font>
      <sz val="10"/>
      <color theme="1"/>
      <name val="Palemon"/>
    </font>
    <font>
      <sz val="11"/>
      <color theme="1"/>
      <name val="Palemon"/>
    </font>
    <font>
      <b/>
      <sz val="11"/>
      <color theme="1"/>
      <name val="Palemon"/>
    </font>
    <font>
      <b/>
      <sz val="12"/>
      <name val="Times New Roman"/>
      <family val="1"/>
      <charset val="186"/>
    </font>
    <font>
      <sz val="11"/>
      <color rgb="FFFF0000"/>
      <name val="Palemon"/>
    </font>
    <font>
      <sz val="12"/>
      <color rgb="FFFF0000"/>
      <name val="Calibri"/>
      <family val="2"/>
      <scheme val="minor"/>
    </font>
    <font>
      <b/>
      <sz val="12"/>
      <color theme="1"/>
      <name val="Palemon"/>
    </font>
    <font>
      <u/>
      <sz val="11"/>
      <color theme="10"/>
      <name val="Calibri"/>
      <family val="2"/>
      <charset val="186"/>
      <scheme val="minor"/>
    </font>
    <font>
      <sz val="11"/>
      <color theme="1"/>
      <name val="Palemonas"/>
      <family val="2"/>
      <charset val="186"/>
    </font>
    <font>
      <b/>
      <sz val="10"/>
      <color theme="6" tint="-0.749992370372631"/>
      <name val="Calibri"/>
      <family val="2"/>
      <charset val="186"/>
      <scheme val="minor"/>
    </font>
    <font>
      <sz val="9"/>
      <color rgb="FF3F905B"/>
      <name val="Calibri"/>
      <family val="2"/>
      <scheme val="minor"/>
    </font>
    <font>
      <sz val="11"/>
      <color theme="6" tint="-0.749992370372631"/>
      <name val="Calibri"/>
      <family val="2"/>
      <charset val="186"/>
      <scheme val="minor"/>
    </font>
    <font>
      <sz val="14"/>
      <name val="Calibri"/>
      <family val="2"/>
      <charset val="186"/>
      <scheme val="minor"/>
    </font>
    <font>
      <b/>
      <sz val="11"/>
      <color rgb="FF0F5031"/>
      <name val="YAFcfhdOoGk 0"/>
    </font>
    <font>
      <sz val="9"/>
      <color rgb="FF808080"/>
      <name val="Palemonas"/>
    </font>
    <font>
      <sz val="9"/>
      <color rgb="FF8FCEA5"/>
      <name val="Palemon"/>
    </font>
    <font>
      <i/>
      <sz val="10"/>
      <color theme="9" tint="-0.249977111117893"/>
      <name val="Palemon"/>
    </font>
    <font>
      <sz val="11"/>
      <color rgb="FF8FCEA5"/>
      <name val="Calibri"/>
      <family val="2"/>
      <charset val="186"/>
      <scheme val="minor"/>
    </font>
    <font>
      <i/>
      <sz val="10"/>
      <color theme="1" tint="-0.249977111117893"/>
      <name val="Palemon"/>
    </font>
    <font>
      <sz val="11"/>
      <color theme="9" tint="-0.749992370372631"/>
      <name val="Calibri"/>
      <family val="2"/>
      <charset val="186"/>
      <scheme val="minor"/>
    </font>
    <font>
      <sz val="11"/>
      <color rgb="FFFFFFFF"/>
      <name val="Calibri"/>
      <family val="2"/>
      <charset val="186"/>
      <scheme val="minor"/>
    </font>
    <font>
      <b/>
      <sz val="10"/>
      <color rgb="FF265535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theme="2" tint="-0.499984740745262"/>
      <name val="Calibri"/>
      <family val="2"/>
      <charset val="186"/>
      <scheme val="minor"/>
    </font>
    <font>
      <sz val="14"/>
      <color rgb="FF275536"/>
      <name val="Calibri"/>
      <family val="2"/>
      <charset val="186"/>
      <scheme val="minor"/>
    </font>
    <font>
      <b/>
      <sz val="9"/>
      <color theme="2" tint="-0.499984740745262"/>
      <name val="Calibri"/>
      <family val="2"/>
      <charset val="186"/>
      <scheme val="minor"/>
    </font>
    <font>
      <sz val="9"/>
      <color rgb="FFB2B2B2"/>
      <name val="Calibri"/>
      <family val="2"/>
      <charset val="186"/>
      <scheme val="minor"/>
    </font>
    <font>
      <sz val="9"/>
      <color rgb="FF3F8F5B"/>
      <name val="Calibri"/>
      <family val="2"/>
      <charset val="186"/>
      <scheme val="minor"/>
    </font>
    <font>
      <sz val="11"/>
      <color theme="6" tint="-0.749992370372631"/>
      <name val="Palemon"/>
    </font>
    <font>
      <b/>
      <sz val="11"/>
      <color theme="6" tint="-0.749992370372631"/>
      <name val="Calibri"/>
      <family val="2"/>
      <scheme val="minor"/>
    </font>
    <font>
      <sz val="11"/>
      <color theme="6" tint="-0.74999237037263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FAF6"/>
        <bgColor rgb="FF000000"/>
      </patternFill>
    </fill>
    <fill>
      <patternFill patternType="solid">
        <fgColor theme="6"/>
        <bgColor rgb="FF000000"/>
      </patternFill>
    </fill>
  </fills>
  <borders count="7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theme="2" tint="-0.2499465926084170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theme="2" tint="-0.499984740745262"/>
      </bottom>
      <diagonal/>
    </border>
    <border>
      <left/>
      <right/>
      <top style="double">
        <color theme="2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/>
      <diagonal/>
    </border>
    <border>
      <left style="dashed">
        <color rgb="FFB2B2B2"/>
      </left>
      <right style="dashed">
        <color rgb="FFB2B2B2"/>
      </right>
      <top style="dashed">
        <color rgb="FFB2B2B2"/>
      </top>
      <bottom style="dashed">
        <color rgb="FFB2B2B2"/>
      </bottom>
      <diagonal/>
    </border>
    <border>
      <left style="dashed">
        <color rgb="FFB2B2B2"/>
      </left>
      <right style="dashed">
        <color rgb="FFB2B2B2"/>
      </right>
      <top/>
      <bottom style="dashed">
        <color rgb="FFB2B2B2"/>
      </bottom>
      <diagonal/>
    </border>
    <border>
      <left style="dashed">
        <color rgb="FFB2B2B2"/>
      </left>
      <right style="dashed">
        <color rgb="FFB2B2B2"/>
      </right>
      <top style="dashed">
        <color rgb="FFB2B2B2"/>
      </top>
      <bottom style="medium">
        <color theme="3"/>
      </bottom>
      <diagonal/>
    </border>
    <border>
      <left style="thin">
        <color indexed="64"/>
      </left>
      <right style="thin">
        <color rgb="FFB2B2B2"/>
      </right>
      <top style="thin">
        <color rgb="FFB2B2B2"/>
      </top>
      <bottom style="thin">
        <color indexed="64"/>
      </bottom>
      <diagonal/>
    </border>
    <border>
      <left style="thin">
        <color rgb="FFB2B2B2"/>
      </left>
      <right style="thin">
        <color indexed="64"/>
      </right>
      <top style="thin">
        <color rgb="FFB2B2B2"/>
      </top>
      <bottom style="thin">
        <color indexed="64"/>
      </bottom>
      <diagonal/>
    </border>
    <border>
      <left/>
      <right/>
      <top style="double">
        <color theme="2" tint="-0.499984740745262"/>
      </top>
      <bottom style="thin">
        <color indexed="64"/>
      </bottom>
      <diagonal/>
    </border>
    <border>
      <left style="dashed">
        <color rgb="FFB2B2B2"/>
      </left>
      <right/>
      <top style="medium">
        <color theme="3"/>
      </top>
      <bottom style="double">
        <color theme="2" tint="-0.499984740745262"/>
      </bottom>
      <diagonal/>
    </border>
    <border>
      <left/>
      <right/>
      <top style="medium">
        <color theme="3"/>
      </top>
      <bottom style="double">
        <color theme="2" tint="-0.499984740745262"/>
      </bottom>
      <diagonal/>
    </border>
    <border>
      <left/>
      <right style="dashed">
        <color rgb="FFB2B2B2"/>
      </right>
      <top style="medium">
        <color theme="3"/>
      </top>
      <bottom style="double">
        <color theme="2" tint="-0.499984740745262"/>
      </bottom>
      <diagonal/>
    </border>
    <border>
      <left style="dotted">
        <color rgb="FFB2B2B2"/>
      </left>
      <right/>
      <top style="double">
        <color theme="2" tint="-0.499984740745262"/>
      </top>
      <bottom style="double">
        <color theme="6" tint="-0.499984740745262"/>
      </bottom>
      <diagonal/>
    </border>
    <border>
      <left style="dotted">
        <color rgb="FFB2B2B2"/>
      </left>
      <right style="dotted">
        <color rgb="FFB2B2B2"/>
      </right>
      <top style="double">
        <color theme="2" tint="-0.499984740745262"/>
      </top>
      <bottom style="double">
        <color theme="6" tint="-0.499984740745262"/>
      </bottom>
      <diagonal/>
    </border>
    <border>
      <left style="dotted">
        <color rgb="FFB2B2B2"/>
      </left>
      <right style="thin">
        <color indexed="64"/>
      </right>
      <top/>
      <bottom/>
      <diagonal/>
    </border>
    <border>
      <left style="dotted">
        <color rgb="FFB2B2B2"/>
      </left>
      <right style="dashed">
        <color rgb="FFB2B2B2"/>
      </right>
      <top/>
      <bottom/>
      <diagonal/>
    </border>
    <border>
      <left style="dotted">
        <color rgb="FFB2B2B2"/>
      </left>
      <right style="dashed">
        <color rgb="FFB2B2B2"/>
      </right>
      <top/>
      <bottom style="medium">
        <color theme="3"/>
      </bottom>
      <diagonal/>
    </border>
    <border>
      <left/>
      <right style="dotted">
        <color rgb="FFB2B2B2"/>
      </right>
      <top/>
      <bottom/>
      <diagonal/>
    </border>
    <border>
      <left style="dotted">
        <color rgb="FFB2B2B2"/>
      </left>
      <right style="dotted">
        <color rgb="FFB2B2B2"/>
      </right>
      <top/>
      <bottom/>
      <diagonal/>
    </border>
    <border>
      <left style="dotted">
        <color rgb="FFB2B2B2"/>
      </left>
      <right style="dotted">
        <color rgb="FFB2B2B2"/>
      </right>
      <top/>
      <bottom style="medium">
        <color theme="3"/>
      </bottom>
      <diagonal/>
    </border>
    <border>
      <left style="dotted">
        <color rgb="FFB2B2B2"/>
      </left>
      <right style="dashed">
        <color rgb="FFB2B2B2"/>
      </right>
      <top style="dotted">
        <color rgb="FFB2B2B2"/>
      </top>
      <bottom/>
      <diagonal/>
    </border>
    <border>
      <left style="dotted">
        <color rgb="FFB2B2B2"/>
      </left>
      <right style="dotted">
        <color rgb="FFB2B2B2"/>
      </right>
      <top style="dotted">
        <color rgb="FFB2B2B2"/>
      </top>
      <bottom/>
      <diagonal/>
    </border>
    <border>
      <left style="dotted">
        <color rgb="FFB2B2B2"/>
      </left>
      <right style="dashed">
        <color rgb="FFB2B2B2"/>
      </right>
      <top style="dotted">
        <color rgb="FFB2B2B2"/>
      </top>
      <bottom style="dotted">
        <color rgb="FFB2B2B2"/>
      </bottom>
      <diagonal/>
    </border>
    <border>
      <left style="dotted">
        <color rgb="FFB2B2B2"/>
      </left>
      <right style="dotted">
        <color rgb="FFB2B2B2"/>
      </right>
      <top style="dotted">
        <color rgb="FFB2B2B2"/>
      </top>
      <bottom style="medium">
        <color theme="3"/>
      </bottom>
      <diagonal/>
    </border>
    <border>
      <left style="dotted">
        <color rgb="FFB2B2B2"/>
      </left>
      <right style="dotted">
        <color rgb="FFB2B2B2"/>
      </right>
      <top style="dotted">
        <color rgb="FFB2B2B2"/>
      </top>
      <bottom style="dotted">
        <color rgb="FFB2B2B2"/>
      </bottom>
      <diagonal/>
    </border>
    <border>
      <left/>
      <right style="dotted">
        <color rgb="FFB2B2B2"/>
      </right>
      <top style="medium">
        <color theme="2" tint="-0.24994659260841701"/>
      </top>
      <bottom/>
      <diagonal/>
    </border>
    <border>
      <left style="dotted">
        <color rgb="FFB2B2B2"/>
      </left>
      <right style="dotted">
        <color rgb="FFB2B2B2"/>
      </right>
      <top style="dotted">
        <color rgb="FFB2B2B2"/>
      </top>
      <bottom style="double">
        <color theme="2" tint="-0.499984740745262"/>
      </bottom>
      <diagonal/>
    </border>
    <border>
      <left style="dashed">
        <color rgb="FFB2B2B2"/>
      </left>
      <right style="dashed">
        <color rgb="FFB2B2B2"/>
      </right>
      <top style="medium">
        <color theme="2" tint="-0.499984740745262"/>
      </top>
      <bottom style="dashed">
        <color rgb="FFB2B2B2"/>
      </bottom>
      <diagonal/>
    </border>
    <border>
      <left style="dashed">
        <color rgb="FFB2B2B2"/>
      </left>
      <right style="dashed">
        <color rgb="FFB2B2B2"/>
      </right>
      <top style="dashed">
        <color rgb="FFB2B2B2"/>
      </top>
      <bottom/>
      <diagonal/>
    </border>
    <border>
      <left style="dashed">
        <color rgb="FFB2B2B2"/>
      </left>
      <right style="dashed">
        <color rgb="FFB2B2B2"/>
      </right>
      <top/>
      <bottom/>
      <diagonal/>
    </border>
    <border>
      <left style="dashed">
        <color rgb="FFB2B2B2"/>
      </left>
      <right style="dashed">
        <color rgb="FFB2B2B2"/>
      </right>
      <top style="dashed">
        <color rgb="FFB2B2B2"/>
      </top>
      <bottom style="medium">
        <color theme="2" tint="-0.499984740745262"/>
      </bottom>
      <diagonal/>
    </border>
    <border>
      <left style="dotted">
        <color rgb="FFB2B2B2"/>
      </left>
      <right style="dotted">
        <color rgb="FFB2B2B2"/>
      </right>
      <top style="medium">
        <color theme="2" tint="-0.499984740745262"/>
      </top>
      <bottom style="dotted">
        <color rgb="FFB2B2B2"/>
      </bottom>
      <diagonal/>
    </border>
    <border>
      <left style="dotted">
        <color rgb="FFB2B2B2"/>
      </left>
      <right style="dashed">
        <color rgb="FFB2B2B2"/>
      </right>
      <top style="medium">
        <color theme="2" tint="-0.499984740745262"/>
      </top>
      <bottom style="dashed">
        <color rgb="FFB2B2B2"/>
      </bottom>
      <diagonal/>
    </border>
    <border>
      <left style="dotted">
        <color rgb="FFB2B2B2"/>
      </left>
      <right style="dashed">
        <color rgb="FFB2B2B2"/>
      </right>
      <top style="medium">
        <color theme="2" tint="-0.499984740745262"/>
      </top>
      <bottom style="dotted">
        <color rgb="FFB2B2B2"/>
      </bottom>
      <diagonal/>
    </border>
    <border>
      <left style="dotted">
        <color rgb="FFB2B2B2"/>
      </left>
      <right style="dashed">
        <color rgb="FFB2B2B2"/>
      </right>
      <top style="medium">
        <color theme="3"/>
      </top>
      <bottom style="dotted">
        <color rgb="FFB2B2B2"/>
      </bottom>
      <diagonal/>
    </border>
    <border>
      <left style="dotted">
        <color rgb="FFB2B2B2"/>
      </left>
      <right style="dashed">
        <color rgb="FFB2B2B2"/>
      </right>
      <top style="medium">
        <color theme="3"/>
      </top>
      <bottom/>
      <diagonal/>
    </border>
    <border>
      <left style="dotted">
        <color rgb="FFB2B2B2"/>
      </left>
      <right style="dotted">
        <color rgb="FFB2B2B2"/>
      </right>
      <top style="medium">
        <color theme="3"/>
      </top>
      <bottom style="dotted">
        <color rgb="FFB2B2B2"/>
      </bottom>
      <diagonal/>
    </border>
    <border>
      <left style="dotted">
        <color rgb="FFB2B2B2"/>
      </left>
      <right style="dotted">
        <color rgb="FFB2B2B2"/>
      </right>
      <top style="medium">
        <color theme="3"/>
      </top>
      <bottom/>
      <diagonal/>
    </border>
    <border>
      <left style="dotted">
        <color rgb="FFB2B2B2"/>
      </left>
      <right style="dashed">
        <color rgb="FFB2B2B2"/>
      </right>
      <top style="medium">
        <color theme="3"/>
      </top>
      <bottom style="medium">
        <color theme="2" tint="-0.499984740745262"/>
      </bottom>
      <diagonal/>
    </border>
    <border>
      <left style="dashed">
        <color rgb="FFB2B2B2"/>
      </left>
      <right style="dashed">
        <color rgb="FFB2B2B2"/>
      </right>
      <top style="medium">
        <color theme="3"/>
      </top>
      <bottom style="dashed">
        <color rgb="FFB2B2B2"/>
      </bottom>
      <diagonal/>
    </border>
    <border>
      <left style="dotted">
        <color rgb="FFB2B2B2"/>
      </left>
      <right style="dashed">
        <color rgb="FFB2B2B2"/>
      </right>
      <top style="dotted">
        <color rgb="FFB2B2B2"/>
      </top>
      <bottom style="medium">
        <color theme="1"/>
      </bottom>
      <diagonal/>
    </border>
    <border>
      <left style="dashed">
        <color rgb="FFB2B2B2"/>
      </left>
      <right style="dashed">
        <color rgb="FFB2B2B2"/>
      </right>
      <top style="dashed">
        <color rgb="FFB2B2B2"/>
      </top>
      <bottom style="medium">
        <color theme="1"/>
      </bottom>
      <diagonal/>
    </border>
    <border>
      <left style="dashed">
        <color rgb="FFB2B2B2"/>
      </left>
      <right style="dashed">
        <color rgb="FFB2B2B2"/>
      </right>
      <top style="medium">
        <color theme="1"/>
      </top>
      <bottom style="dashed">
        <color rgb="FFB2B2B2"/>
      </bottom>
      <diagonal/>
    </border>
    <border>
      <left style="dotted">
        <color rgb="FFB2B2B2"/>
      </left>
      <right style="dashed">
        <color rgb="FFB2B2B2"/>
      </right>
      <top style="medium">
        <color theme="1"/>
      </top>
      <bottom/>
      <diagonal/>
    </border>
    <border>
      <left/>
      <right style="dashed">
        <color rgb="FFB2B2B2"/>
      </right>
      <top style="medium">
        <color theme="1"/>
      </top>
      <bottom/>
      <diagonal/>
    </border>
    <border>
      <left style="dotted">
        <color rgb="FFB2B2B2"/>
      </left>
      <right style="dotted">
        <color rgb="FFB2B2B2"/>
      </right>
      <top/>
      <bottom style="medium">
        <color theme="1"/>
      </bottom>
      <diagonal/>
    </border>
    <border>
      <left style="dotted">
        <color rgb="FFB2B2B2"/>
      </left>
      <right style="dashed">
        <color rgb="FFB2B2B2"/>
      </right>
      <top style="medium">
        <color theme="1"/>
      </top>
      <bottom style="dotted">
        <color rgb="FFB2B2B2"/>
      </bottom>
      <diagonal/>
    </border>
    <border>
      <left style="dashed">
        <color rgb="FFB2B2B2"/>
      </left>
      <right style="dashed">
        <color rgb="FFB2B2B2"/>
      </right>
      <top style="medium">
        <color theme="1"/>
      </top>
      <bottom style="medium">
        <color theme="2" tint="-0.499984740745262"/>
      </bottom>
      <diagonal/>
    </border>
    <border>
      <left style="dotted">
        <color rgb="FFB2B2B2"/>
      </left>
      <right style="dashed">
        <color rgb="FFB2B2B2"/>
      </right>
      <top style="medium">
        <color theme="2" tint="-0.499984740745262"/>
      </top>
      <bottom/>
      <diagonal/>
    </border>
    <border>
      <left style="dotted">
        <color rgb="FFB2B2B2"/>
      </left>
      <right style="dashed">
        <color rgb="FFB2B2B2"/>
      </right>
      <top/>
      <bottom style="double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B2B2B2"/>
      </bottom>
      <diagonal/>
    </border>
    <border>
      <left style="thin">
        <color indexed="64"/>
      </left>
      <right/>
      <top/>
      <bottom style="thin">
        <color rgb="FFB2B2B2"/>
      </bottom>
      <diagonal/>
    </border>
    <border>
      <left style="thin">
        <color rgb="FFB2B2B2"/>
      </left>
      <right/>
      <top/>
      <bottom style="thin">
        <color rgb="FFB2B2B2"/>
      </bottom>
      <diagonal/>
    </border>
    <border>
      <left style="thin">
        <color rgb="FFB2B2B2"/>
      </left>
      <right style="thin">
        <color indexed="64"/>
      </right>
      <top/>
      <bottom style="thin">
        <color rgb="FFB2B2B2"/>
      </bottom>
      <diagonal/>
    </border>
    <border>
      <left style="thin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 style="thin">
        <color indexed="64"/>
      </bottom>
      <diagonal/>
    </border>
  </borders>
  <cellStyleXfs count="576">
    <xf numFmtId="0" fontId="0" fillId="0" borderId="0"/>
    <xf numFmtId="0" fontId="2" fillId="0" borderId="0"/>
    <xf numFmtId="0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2" fillId="0" borderId="0"/>
    <xf numFmtId="0" fontId="1" fillId="0" borderId="0"/>
    <xf numFmtId="0" fontId="2" fillId="0" borderId="0"/>
    <xf numFmtId="0" fontId="5" fillId="0" borderId="0"/>
    <xf numFmtId="165" fontId="5" fillId="0" borderId="0" applyFont="0" applyFill="0" applyBorder="0" applyAlignment="0" applyProtection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5" fillId="0" borderId="0"/>
    <xf numFmtId="165" fontId="5" fillId="0" borderId="0" applyFont="0" applyFill="0" applyBorder="0" applyAlignment="0" applyProtection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5" fillId="0" borderId="0"/>
    <xf numFmtId="165" fontId="5" fillId="0" borderId="0" applyFont="0" applyFill="0" applyBorder="0" applyAlignment="0" applyProtection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165" fontId="5" fillId="0" borderId="0" applyFont="0" applyFill="0" applyBorder="0" applyAlignment="0" applyProtection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/>
  </cellStyleXfs>
  <cellXfs count="178">
    <xf numFmtId="0" fontId="0" fillId="0" borderId="0" xfId="0"/>
    <xf numFmtId="0" fontId="0" fillId="2" borderId="0" xfId="0" applyFill="1"/>
    <xf numFmtId="0" fontId="11" fillId="2" borderId="0" xfId="0" applyFont="1" applyFill="1"/>
    <xf numFmtId="0" fontId="12" fillId="2" borderId="0" xfId="0" applyFont="1" applyFill="1"/>
    <xf numFmtId="0" fontId="10" fillId="2" borderId="0" xfId="0" applyFont="1" applyFill="1"/>
    <xf numFmtId="0" fontId="15" fillId="2" borderId="0" xfId="0" applyFont="1" applyFill="1"/>
    <xf numFmtId="0" fontId="9" fillId="2" borderId="0" xfId="0" applyFont="1" applyFill="1"/>
    <xf numFmtId="0" fontId="16" fillId="2" borderId="0" xfId="0" applyFont="1" applyFill="1" applyAlignment="1">
      <alignment vertical="center"/>
    </xf>
    <xf numFmtId="0" fontId="17" fillId="2" borderId="0" xfId="0" applyFont="1" applyFill="1"/>
    <xf numFmtId="0" fontId="3" fillId="2" borderId="0" xfId="0" applyFont="1" applyFill="1"/>
    <xf numFmtId="0" fontId="18" fillId="2" borderId="0" xfId="0" applyFont="1" applyFill="1"/>
    <xf numFmtId="0" fontId="28" fillId="2" borderId="0" xfId="0" applyFont="1" applyFill="1" applyProtection="1">
      <protection locked="0"/>
    </xf>
    <xf numFmtId="0" fontId="21" fillId="2" borderId="0" xfId="0" applyFont="1" applyFill="1"/>
    <xf numFmtId="0" fontId="29" fillId="2" borderId="0" xfId="0" applyFont="1" applyFill="1" applyProtection="1">
      <protection locked="0"/>
    </xf>
    <xf numFmtId="0" fontId="22" fillId="2" borderId="0" xfId="0" applyFont="1" applyFill="1" applyProtection="1">
      <protection locked="0"/>
    </xf>
    <xf numFmtId="164" fontId="22" fillId="2" borderId="0" xfId="573" applyNumberFormat="1" applyFont="1" applyFill="1" applyBorder="1" applyProtection="1">
      <protection hidden="1"/>
    </xf>
    <xf numFmtId="2" fontId="30" fillId="2" borderId="0" xfId="0" applyNumberFormat="1" applyFont="1" applyFill="1"/>
    <xf numFmtId="0" fontId="31" fillId="2" borderId="0" xfId="0" applyFont="1" applyFill="1"/>
    <xf numFmtId="0" fontId="28" fillId="2" borderId="0" xfId="0" applyFont="1" applyFill="1" applyProtection="1">
      <protection hidden="1"/>
    </xf>
    <xf numFmtId="0" fontId="22" fillId="2" borderId="0" xfId="0" applyFont="1" applyFill="1" applyProtection="1">
      <protection hidden="1"/>
    </xf>
    <xf numFmtId="167" fontId="22" fillId="2" borderId="0" xfId="573" applyNumberFormat="1" applyFont="1" applyFill="1" applyBorder="1" applyProtection="1">
      <protection hidden="1"/>
    </xf>
    <xf numFmtId="0" fontId="28" fillId="2" borderId="0" xfId="0" applyFont="1" applyFill="1"/>
    <xf numFmtId="0" fontId="22" fillId="2" borderId="0" xfId="0" applyFont="1" applyFill="1"/>
    <xf numFmtId="0" fontId="19" fillId="2" borderId="0" xfId="0" applyFont="1" applyFill="1"/>
    <xf numFmtId="168" fontId="23" fillId="2" borderId="0" xfId="0" applyNumberFormat="1" applyFont="1" applyFill="1"/>
    <xf numFmtId="1" fontId="0" fillId="2" borderId="6" xfId="0" applyNumberFormat="1" applyFill="1" applyBorder="1"/>
    <xf numFmtId="0" fontId="29" fillId="2" borderId="0" xfId="0" applyFont="1" applyFill="1" applyProtection="1">
      <protection hidden="1"/>
    </xf>
    <xf numFmtId="0" fontId="22" fillId="2" borderId="0" xfId="0" applyFont="1" applyFill="1" applyAlignment="1" applyProtection="1">
      <alignment horizontal="center" wrapText="1"/>
      <protection hidden="1"/>
    </xf>
    <xf numFmtId="4" fontId="23" fillId="2" borderId="0" xfId="0" applyNumberFormat="1" applyFont="1" applyFill="1"/>
    <xf numFmtId="2" fontId="23" fillId="2" borderId="0" xfId="0" applyNumberFormat="1" applyFont="1" applyFill="1"/>
    <xf numFmtId="0" fontId="29" fillId="2" borderId="0" xfId="0" quotePrefix="1" applyFont="1" applyFill="1" applyProtection="1">
      <protection hidden="1"/>
    </xf>
    <xf numFmtId="0" fontId="22" fillId="2" borderId="0" xfId="0" quotePrefix="1" applyFont="1" applyFill="1" applyProtection="1">
      <protection hidden="1"/>
    </xf>
    <xf numFmtId="2" fontId="22" fillId="2" borderId="0" xfId="573" applyNumberFormat="1" applyFont="1" applyFill="1" applyBorder="1" applyProtection="1">
      <protection hidden="1"/>
    </xf>
    <xf numFmtId="1" fontId="0" fillId="2" borderId="0" xfId="0" applyNumberFormat="1" applyFill="1"/>
    <xf numFmtId="0" fontId="28" fillId="2" borderId="0" xfId="0" applyFont="1" applyFill="1" applyAlignment="1" applyProtection="1">
      <alignment horizontal="center" vertical="center"/>
      <protection locked="0"/>
    </xf>
    <xf numFmtId="0" fontId="27" fillId="2" borderId="0" xfId="0" applyFont="1" applyFill="1" applyProtection="1">
      <protection locked="0"/>
    </xf>
    <xf numFmtId="164" fontId="27" fillId="2" borderId="0" xfId="0" applyNumberFormat="1" applyFont="1" applyFill="1" applyAlignment="1">
      <alignment horizontal="left" vertical="top"/>
    </xf>
    <xf numFmtId="2" fontId="25" fillId="2" borderId="0" xfId="0" applyNumberFormat="1" applyFont="1" applyFill="1"/>
    <xf numFmtId="0" fontId="22" fillId="2" borderId="0" xfId="574" applyFont="1" applyFill="1" applyBorder="1" applyProtection="1">
      <protection hidden="1"/>
    </xf>
    <xf numFmtId="167" fontId="22" fillId="2" borderId="0" xfId="573" applyNumberFormat="1" applyFont="1" applyFill="1" applyBorder="1" applyProtection="1">
      <protection locked="0"/>
    </xf>
    <xf numFmtId="164" fontId="22" fillId="2" borderId="0" xfId="573" applyNumberFormat="1" applyFont="1" applyFill="1" applyBorder="1" applyProtection="1">
      <protection locked="0"/>
    </xf>
    <xf numFmtId="0" fontId="26" fillId="5" borderId="3" xfId="0" applyFont="1" applyFill="1" applyBorder="1"/>
    <xf numFmtId="0" fontId="26" fillId="5" borderId="4" xfId="0" applyFont="1" applyFill="1" applyBorder="1"/>
    <xf numFmtId="0" fontId="32" fillId="5" borderId="4" xfId="0" applyFont="1" applyFill="1" applyBorder="1"/>
    <xf numFmtId="0" fontId="26" fillId="5" borderId="4" xfId="0" applyFont="1" applyFill="1" applyBorder="1" applyProtection="1">
      <protection locked="0"/>
    </xf>
    <xf numFmtId="0" fontId="26" fillId="5" borderId="1" xfId="0" applyFont="1" applyFill="1" applyBorder="1" applyProtection="1">
      <protection locked="0"/>
    </xf>
    <xf numFmtId="0" fontId="26" fillId="5" borderId="5" xfId="0" applyFont="1" applyFill="1" applyBorder="1"/>
    <xf numFmtId="0" fontId="26" fillId="5" borderId="2" xfId="0" applyFont="1" applyFill="1" applyBorder="1" applyProtection="1">
      <protection locked="0"/>
    </xf>
    <xf numFmtId="0" fontId="33" fillId="5" borderId="2" xfId="0" applyFont="1" applyFill="1" applyBorder="1" applyAlignment="1" applyProtection="1">
      <alignment horizontal="center" vertical="center"/>
      <protection locked="0"/>
    </xf>
    <xf numFmtId="0" fontId="26" fillId="5" borderId="2" xfId="0" applyFont="1" applyFill="1" applyBorder="1" applyAlignment="1" applyProtection="1">
      <alignment horizontal="center" vertical="center"/>
      <protection locked="0"/>
    </xf>
    <xf numFmtId="164" fontId="26" fillId="5" borderId="2" xfId="0" applyNumberFormat="1" applyFont="1" applyFill="1" applyBorder="1" applyAlignment="1">
      <alignment horizontal="left" vertical="top"/>
    </xf>
    <xf numFmtId="0" fontId="26" fillId="5" borderId="5" xfId="0" applyFont="1" applyFill="1" applyBorder="1" applyProtection="1">
      <protection locked="0"/>
    </xf>
    <xf numFmtId="0" fontId="26" fillId="5" borderId="9" xfId="0" applyFont="1" applyFill="1" applyBorder="1" applyProtection="1">
      <protection locked="0"/>
    </xf>
    <xf numFmtId="0" fontId="26" fillId="5" borderId="10" xfId="0" applyFont="1" applyFill="1" applyBorder="1" applyProtection="1">
      <protection locked="0"/>
    </xf>
    <xf numFmtId="0" fontId="26" fillId="5" borderId="8" xfId="0" applyFont="1" applyFill="1" applyBorder="1" applyAlignment="1" applyProtection="1">
      <alignment horizontal="left"/>
      <protection locked="0"/>
    </xf>
    <xf numFmtId="0" fontId="26" fillId="5" borderId="0" xfId="0" applyFont="1" applyFill="1" applyProtection="1">
      <protection locked="0"/>
    </xf>
    <xf numFmtId="0" fontId="27" fillId="2" borderId="5" xfId="0" applyFont="1" applyFill="1" applyBorder="1" applyProtection="1">
      <protection locked="0"/>
    </xf>
    <xf numFmtId="0" fontId="37" fillId="2" borderId="0" xfId="0" applyFont="1" applyFill="1"/>
    <xf numFmtId="0" fontId="39" fillId="2" borderId="0" xfId="0" applyFont="1" applyFill="1"/>
    <xf numFmtId="0" fontId="40" fillId="2" borderId="0" xfId="0" applyFont="1" applyFill="1" applyAlignment="1">
      <alignment vertical="center"/>
    </xf>
    <xf numFmtId="0" fontId="18" fillId="6" borderId="0" xfId="0" applyFont="1" applyFill="1"/>
    <xf numFmtId="0" fontId="41" fillId="6" borderId="0" xfId="0" applyFont="1" applyFill="1" applyAlignment="1">
      <alignment horizontal="center" vertical="center"/>
    </xf>
    <xf numFmtId="0" fontId="42" fillId="6" borderId="0" xfId="0" applyFont="1" applyFill="1" applyAlignment="1">
      <alignment horizontal="left" vertical="center"/>
    </xf>
    <xf numFmtId="0" fontId="20" fillId="6" borderId="0" xfId="0" applyFont="1" applyFill="1"/>
    <xf numFmtId="0" fontId="41" fillId="7" borderId="0" xfId="0" applyFont="1" applyFill="1" applyAlignment="1">
      <alignment horizontal="center" vertical="center"/>
    </xf>
    <xf numFmtId="0" fontId="43" fillId="2" borderId="0" xfId="0" applyFont="1" applyFill="1" applyAlignment="1">
      <alignment horizontal="center" vertical="center"/>
    </xf>
    <xf numFmtId="0" fontId="20" fillId="7" borderId="0" xfId="0" applyFont="1" applyFill="1"/>
    <xf numFmtId="0" fontId="44" fillId="7" borderId="0" xfId="0" applyFont="1" applyFill="1"/>
    <xf numFmtId="0" fontId="44" fillId="6" borderId="0" xfId="0" applyFont="1" applyFill="1"/>
    <xf numFmtId="0" fontId="45" fillId="7" borderId="0" xfId="0" applyFont="1" applyFill="1" applyAlignment="1">
      <alignment horizontal="center" vertical="center"/>
    </xf>
    <xf numFmtId="0" fontId="46" fillId="7" borderId="0" xfId="0" applyFont="1" applyFill="1"/>
    <xf numFmtId="0" fontId="47" fillId="7" borderId="0" xfId="0" applyFont="1" applyFill="1"/>
    <xf numFmtId="43" fontId="22" fillId="2" borderId="0" xfId="0" applyNumberFormat="1" applyFont="1" applyFill="1" applyProtection="1">
      <protection locked="0"/>
    </xf>
    <xf numFmtId="0" fontId="49" fillId="0" borderId="0" xfId="0" applyFont="1"/>
    <xf numFmtId="0" fontId="26" fillId="5" borderId="19" xfId="0" applyFont="1" applyFill="1" applyBorder="1" applyAlignment="1" applyProtection="1">
      <alignment horizontal="left"/>
      <protection locked="0"/>
    </xf>
    <xf numFmtId="0" fontId="26" fillId="5" borderId="25" xfId="0" applyFont="1" applyFill="1" applyBorder="1" applyProtection="1">
      <protection locked="0"/>
    </xf>
    <xf numFmtId="0" fontId="50" fillId="5" borderId="24" xfId="58" applyFont="1" applyFill="1" applyBorder="1" applyAlignment="1">
      <alignment horizontal="left" vertical="center"/>
    </xf>
    <xf numFmtId="0" fontId="52" fillId="5" borderId="24" xfId="58" applyFont="1" applyFill="1" applyBorder="1" applyAlignment="1">
      <alignment horizontal="left" vertical="center"/>
    </xf>
    <xf numFmtId="0" fontId="52" fillId="5" borderId="24" xfId="58" applyFont="1" applyFill="1" applyBorder="1" applyAlignment="1">
      <alignment horizontal="center" vertical="center"/>
    </xf>
    <xf numFmtId="0" fontId="52" fillId="5" borderId="23" xfId="58" applyFont="1" applyFill="1" applyBorder="1" applyAlignment="1">
      <alignment horizontal="center" vertical="center"/>
    </xf>
    <xf numFmtId="0" fontId="52" fillId="5" borderId="12" xfId="58" applyFont="1" applyFill="1" applyBorder="1" applyAlignment="1">
      <alignment horizontal="center" vertical="center"/>
    </xf>
    <xf numFmtId="0" fontId="52" fillId="5" borderId="29" xfId="0" applyFont="1" applyFill="1" applyBorder="1" applyAlignment="1">
      <alignment horizontal="left" vertical="center"/>
    </xf>
    <xf numFmtId="0" fontId="52" fillId="5" borderId="26" xfId="0" applyFont="1" applyFill="1" applyBorder="1" applyAlignment="1">
      <alignment horizontal="left" vertical="center"/>
    </xf>
    <xf numFmtId="0" fontId="50" fillId="5" borderId="34" xfId="0" applyFont="1" applyFill="1" applyBorder="1" applyAlignment="1">
      <alignment horizontal="left" vertical="center" wrapText="1"/>
    </xf>
    <xf numFmtId="0" fontId="50" fillId="5" borderId="31" xfId="0" applyFont="1" applyFill="1" applyBorder="1" applyAlignment="1">
      <alignment horizontal="left" vertical="center"/>
    </xf>
    <xf numFmtId="0" fontId="52" fillId="0" borderId="32" xfId="58" applyFont="1" applyBorder="1" applyAlignment="1">
      <alignment horizontal="left" vertical="center" wrapText="1"/>
    </xf>
    <xf numFmtId="0" fontId="52" fillId="5" borderId="45" xfId="0" applyFont="1" applyFill="1" applyBorder="1" applyAlignment="1">
      <alignment horizontal="left" vertical="center"/>
    </xf>
    <xf numFmtId="0" fontId="52" fillId="0" borderId="34" xfId="58" applyFont="1" applyBorder="1" applyAlignment="1">
      <alignment horizontal="left" vertical="center" wrapText="1"/>
    </xf>
    <xf numFmtId="0" fontId="52" fillId="5" borderId="27" xfId="0" applyFont="1" applyFill="1" applyBorder="1" applyAlignment="1">
      <alignment horizontal="left" vertical="center"/>
    </xf>
    <xf numFmtId="0" fontId="53" fillId="5" borderId="48" xfId="0" applyFont="1" applyFill="1" applyBorder="1" applyAlignment="1">
      <alignment horizontal="left" vertical="center"/>
    </xf>
    <xf numFmtId="0" fontId="53" fillId="5" borderId="49" xfId="0" applyFont="1" applyFill="1" applyBorder="1" applyAlignment="1">
      <alignment horizontal="left" vertical="center"/>
    </xf>
    <xf numFmtId="0" fontId="52" fillId="0" borderId="42" xfId="58" applyFont="1" applyBorder="1" applyAlignment="1">
      <alignment horizontal="left" vertical="center" wrapText="1"/>
    </xf>
    <xf numFmtId="0" fontId="52" fillId="5" borderId="35" xfId="0" applyFont="1" applyFill="1" applyBorder="1" applyAlignment="1">
      <alignment horizontal="left" vertical="center"/>
    </xf>
    <xf numFmtId="0" fontId="52" fillId="5" borderId="46" xfId="0" applyFont="1" applyFill="1" applyBorder="1" applyAlignment="1">
      <alignment horizontal="left" vertical="center"/>
    </xf>
    <xf numFmtId="0" fontId="52" fillId="5" borderId="51" xfId="0" applyFont="1" applyFill="1" applyBorder="1" applyAlignment="1">
      <alignment horizontal="left" vertical="center"/>
    </xf>
    <xf numFmtId="0" fontId="52" fillId="5" borderId="44" xfId="0" applyFont="1" applyFill="1" applyBorder="1" applyAlignment="1">
      <alignment horizontal="left" vertical="center"/>
    </xf>
    <xf numFmtId="0" fontId="50" fillId="5" borderId="33" xfId="0" applyFont="1" applyFill="1" applyBorder="1" applyAlignment="1">
      <alignment horizontal="left" vertical="center"/>
    </xf>
    <xf numFmtId="0" fontId="52" fillId="0" borderId="35" xfId="58" applyFont="1" applyBorder="1" applyAlignment="1">
      <alignment horizontal="left" vertical="center" wrapText="1"/>
    </xf>
    <xf numFmtId="0" fontId="52" fillId="0" borderId="56" xfId="58" applyFont="1" applyBorder="1" applyAlignment="1">
      <alignment horizontal="left" vertical="center" wrapText="1"/>
    </xf>
    <xf numFmtId="0" fontId="50" fillId="5" borderId="32" xfId="0" applyFont="1" applyFill="1" applyBorder="1" applyAlignment="1">
      <alignment horizontal="left" vertical="center" wrapText="1"/>
    </xf>
    <xf numFmtId="0" fontId="52" fillId="0" borderId="47" xfId="58" applyFont="1" applyBorder="1" applyAlignment="1">
      <alignment horizontal="left" vertical="center" wrapText="1"/>
    </xf>
    <xf numFmtId="0" fontId="52" fillId="0" borderId="30" xfId="58" applyFont="1" applyBorder="1" applyAlignment="1">
      <alignment horizontal="left" vertical="center" wrapText="1"/>
    </xf>
    <xf numFmtId="0" fontId="54" fillId="0" borderId="42" xfId="0" applyFont="1" applyBorder="1" applyAlignment="1">
      <alignment vertical="center" wrapText="1"/>
    </xf>
    <xf numFmtId="0" fontId="50" fillId="0" borderId="29" xfId="0" applyFont="1" applyBorder="1" applyAlignment="1">
      <alignment horizontal="left" vertical="center" wrapText="1"/>
    </xf>
    <xf numFmtId="0" fontId="50" fillId="0" borderId="37" xfId="0" applyFont="1" applyBorder="1" applyAlignment="1">
      <alignment horizontal="left" vertical="center" wrapText="1"/>
    </xf>
    <xf numFmtId="0" fontId="52" fillId="5" borderId="0" xfId="0" applyFont="1" applyFill="1" applyAlignment="1">
      <alignment horizontal="left" vertical="center"/>
    </xf>
    <xf numFmtId="0" fontId="50" fillId="5" borderId="0" xfId="0" applyFont="1" applyFill="1" applyAlignment="1">
      <alignment horizontal="left" vertical="center"/>
    </xf>
    <xf numFmtId="0" fontId="52" fillId="5" borderId="13" xfId="0" applyFont="1" applyFill="1" applyBorder="1" applyAlignment="1" applyProtection="1">
      <alignment horizontal="center" vertical="center"/>
      <protection locked="0"/>
    </xf>
    <xf numFmtId="0" fontId="52" fillId="5" borderId="0" xfId="0" applyFont="1" applyFill="1" applyAlignment="1" applyProtection="1">
      <alignment horizontal="center" vertical="center"/>
      <protection locked="0"/>
    </xf>
    <xf numFmtId="3" fontId="50" fillId="3" borderId="14" xfId="0" applyNumberFormat="1" applyFont="1" applyFill="1" applyBorder="1" applyAlignment="1">
      <alignment horizontal="center" vertical="center"/>
    </xf>
    <xf numFmtId="0" fontId="50" fillId="3" borderId="14" xfId="0" applyFont="1" applyFill="1" applyBorder="1" applyAlignment="1">
      <alignment horizontal="center" vertical="center"/>
    </xf>
    <xf numFmtId="1" fontId="50" fillId="5" borderId="16" xfId="58" applyNumberFormat="1" applyFont="1" applyFill="1" applyBorder="1" applyAlignment="1">
      <alignment horizontal="center" vertical="center"/>
    </xf>
    <xf numFmtId="1" fontId="50" fillId="5" borderId="16" xfId="0" applyNumberFormat="1" applyFont="1" applyFill="1" applyBorder="1" applyAlignment="1">
      <alignment horizontal="center" vertical="center"/>
    </xf>
    <xf numFmtId="0" fontId="50" fillId="5" borderId="15" xfId="0" applyFont="1" applyFill="1" applyBorder="1" applyAlignment="1">
      <alignment horizontal="center" vertical="center"/>
    </xf>
    <xf numFmtId="0" fontId="50" fillId="5" borderId="15" xfId="0" applyFont="1" applyFill="1" applyBorder="1" applyAlignment="1" applyProtection="1">
      <alignment horizontal="center" vertical="center"/>
      <protection locked="0"/>
    </xf>
    <xf numFmtId="0" fontId="50" fillId="5" borderId="14" xfId="0" applyFont="1" applyFill="1" applyBorder="1" applyAlignment="1" applyProtection="1">
      <alignment horizontal="center" vertical="center"/>
      <protection locked="0"/>
    </xf>
    <xf numFmtId="0" fontId="50" fillId="5" borderId="14" xfId="0" applyFont="1" applyFill="1" applyBorder="1" applyAlignment="1">
      <alignment horizontal="center" vertical="center"/>
    </xf>
    <xf numFmtId="0" fontId="50" fillId="4" borderId="16" xfId="58" applyFont="1" applyFill="1" applyBorder="1" applyAlignment="1">
      <alignment horizontal="center" vertical="center" wrapText="1"/>
    </xf>
    <xf numFmtId="0" fontId="50" fillId="4" borderId="16" xfId="0" applyFont="1" applyFill="1" applyBorder="1" applyAlignment="1" applyProtection="1">
      <alignment horizontal="center" vertical="center" wrapText="1"/>
      <protection locked="0"/>
    </xf>
    <xf numFmtId="0" fontId="50" fillId="5" borderId="40" xfId="0" applyFont="1" applyFill="1" applyBorder="1" applyAlignment="1">
      <alignment horizontal="center" vertical="center"/>
    </xf>
    <xf numFmtId="0" fontId="50" fillId="5" borderId="40" xfId="0" applyFont="1" applyFill="1" applyBorder="1" applyAlignment="1" applyProtection="1">
      <alignment horizontal="center" vertical="center"/>
      <protection locked="0"/>
    </xf>
    <xf numFmtId="164" fontId="53" fillId="5" borderId="50" xfId="0" applyNumberFormat="1" applyFont="1" applyFill="1" applyBorder="1" applyAlignment="1">
      <alignment horizontal="center" vertical="center"/>
    </xf>
    <xf numFmtId="164" fontId="53" fillId="5" borderId="14" xfId="0" applyNumberFormat="1" applyFont="1" applyFill="1" applyBorder="1" applyAlignment="1">
      <alignment horizontal="center" vertical="center"/>
    </xf>
    <xf numFmtId="0" fontId="50" fillId="5" borderId="7" xfId="0" applyFont="1" applyFill="1" applyBorder="1" applyAlignment="1">
      <alignment horizontal="left" vertical="center"/>
    </xf>
    <xf numFmtId="0" fontId="50" fillId="5" borderId="39" xfId="0" applyFont="1" applyFill="1" applyBorder="1" applyAlignment="1">
      <alignment horizontal="center" vertical="center"/>
    </xf>
    <xf numFmtId="3" fontId="50" fillId="3" borderId="43" xfId="0" applyNumberFormat="1" applyFont="1" applyFill="1" applyBorder="1" applyAlignment="1">
      <alignment horizontal="center" vertical="center"/>
    </xf>
    <xf numFmtId="0" fontId="50" fillId="3" borderId="38" xfId="0" applyFont="1" applyFill="1" applyBorder="1" applyAlignment="1">
      <alignment horizontal="center" vertical="center"/>
    </xf>
    <xf numFmtId="166" fontId="50" fillId="5" borderId="15" xfId="0" applyNumberFormat="1" applyFont="1" applyFill="1" applyBorder="1" applyAlignment="1">
      <alignment horizontal="center" vertical="center"/>
    </xf>
    <xf numFmtId="0" fontId="50" fillId="2" borderId="14" xfId="0" applyFont="1" applyFill="1" applyBorder="1" applyProtection="1">
      <protection locked="0"/>
    </xf>
    <xf numFmtId="0" fontId="50" fillId="4" borderId="52" xfId="0" applyFont="1" applyFill="1" applyBorder="1" applyAlignment="1" applyProtection="1">
      <alignment horizontal="center" vertical="center" wrapText="1"/>
      <protection locked="0"/>
    </xf>
    <xf numFmtId="0" fontId="50" fillId="5" borderId="55" xfId="0" applyFont="1" applyFill="1" applyBorder="1" applyAlignment="1">
      <alignment horizontal="left" vertical="center"/>
    </xf>
    <xf numFmtId="0" fontId="53" fillId="5" borderId="54" xfId="0" applyFont="1" applyFill="1" applyBorder="1" applyAlignment="1">
      <alignment horizontal="left" vertical="center"/>
    </xf>
    <xf numFmtId="164" fontId="53" fillId="5" borderId="41" xfId="0" applyNumberFormat="1" applyFont="1" applyFill="1" applyBorder="1" applyAlignment="1">
      <alignment horizontal="center" vertical="center"/>
    </xf>
    <xf numFmtId="164" fontId="53" fillId="5" borderId="53" xfId="0" applyNumberFormat="1" applyFont="1" applyFill="1" applyBorder="1" applyAlignment="1">
      <alignment horizontal="center" vertical="center"/>
    </xf>
    <xf numFmtId="0" fontId="50" fillId="3" borderId="38" xfId="0" applyFont="1" applyFill="1" applyBorder="1" applyAlignment="1" applyProtection="1">
      <alignment horizontal="center" vertical="center"/>
      <protection locked="0"/>
    </xf>
    <xf numFmtId="3" fontId="50" fillId="5" borderId="14" xfId="0" applyNumberFormat="1" applyFont="1" applyFill="1" applyBorder="1" applyAlignment="1">
      <alignment horizontal="center" vertical="center"/>
    </xf>
    <xf numFmtId="0" fontId="53" fillId="5" borderId="57" xfId="0" applyFont="1" applyFill="1" applyBorder="1" applyAlignment="1">
      <alignment horizontal="left" vertical="center"/>
    </xf>
    <xf numFmtId="164" fontId="53" fillId="5" borderId="58" xfId="0" applyNumberFormat="1" applyFont="1" applyFill="1" applyBorder="1" applyAlignment="1">
      <alignment horizontal="center" vertical="center"/>
    </xf>
    <xf numFmtId="0" fontId="50" fillId="5" borderId="28" xfId="0" applyFont="1" applyFill="1" applyBorder="1" applyAlignment="1">
      <alignment horizontal="left" vertical="center"/>
    </xf>
    <xf numFmtId="0" fontId="50" fillId="5" borderId="36" xfId="0" applyFont="1" applyFill="1" applyBorder="1" applyAlignment="1">
      <alignment horizontal="left" vertical="center"/>
    </xf>
    <xf numFmtId="3" fontId="50" fillId="3" borderId="38" xfId="0" applyNumberFormat="1" applyFont="1" applyFill="1" applyBorder="1" applyAlignment="1">
      <alignment horizontal="center" vertical="center"/>
    </xf>
    <xf numFmtId="0" fontId="50" fillId="5" borderId="0" xfId="0" applyFont="1" applyFill="1" applyAlignment="1">
      <alignment horizontal="center" vertical="center"/>
    </xf>
    <xf numFmtId="0" fontId="52" fillId="5" borderId="0" xfId="0" applyFont="1" applyFill="1" applyAlignment="1">
      <alignment horizontal="center" vertical="center"/>
    </xf>
    <xf numFmtId="0" fontId="50" fillId="5" borderId="7" xfId="0" applyFont="1" applyFill="1" applyBorder="1" applyAlignment="1">
      <alignment horizontal="center" vertical="center"/>
    </xf>
    <xf numFmtId="0" fontId="50" fillId="0" borderId="0" xfId="0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left" vertical="center"/>
      <protection locked="0"/>
    </xf>
    <xf numFmtId="0" fontId="50" fillId="5" borderId="39" xfId="0" applyFont="1" applyFill="1" applyBorder="1" applyAlignment="1" applyProtection="1">
      <alignment horizontal="center" vertical="center"/>
      <protection locked="0"/>
    </xf>
    <xf numFmtId="166" fontId="50" fillId="5" borderId="14" xfId="0" applyNumberFormat="1" applyFont="1" applyFill="1" applyBorder="1" applyAlignment="1">
      <alignment horizontal="center" vertical="center"/>
    </xf>
    <xf numFmtId="166" fontId="50" fillId="5" borderId="38" xfId="0" applyNumberFormat="1" applyFont="1" applyFill="1" applyBorder="1" applyAlignment="1">
      <alignment horizontal="center" vertical="center"/>
    </xf>
    <xf numFmtId="4" fontId="50" fillId="5" borderId="16" xfId="0" applyNumberFormat="1" applyFont="1" applyFill="1" applyBorder="1" applyAlignment="1">
      <alignment horizontal="center" vertical="center"/>
    </xf>
    <xf numFmtId="0" fontId="51" fillId="2" borderId="0" xfId="0" applyFont="1" applyFill="1" applyAlignment="1">
      <alignment horizontal="left" vertical="center" indent="2"/>
    </xf>
    <xf numFmtId="0" fontId="55" fillId="2" borderId="0" xfId="0" applyFont="1" applyFill="1" applyProtection="1">
      <protection locked="0"/>
    </xf>
    <xf numFmtId="0" fontId="56" fillId="0" borderId="62" xfId="0" applyFont="1" applyBorder="1" applyAlignment="1">
      <alignment horizontal="center"/>
    </xf>
    <xf numFmtId="0" fontId="56" fillId="0" borderId="63" xfId="0" applyFont="1" applyBorder="1" applyAlignment="1">
      <alignment horizontal="center"/>
    </xf>
    <xf numFmtId="0" fontId="56" fillId="0" borderId="64" xfId="0" applyFont="1" applyBorder="1" applyAlignment="1">
      <alignment horizontal="center"/>
    </xf>
    <xf numFmtId="0" fontId="57" fillId="0" borderId="65" xfId="0" applyFont="1" applyBorder="1" applyAlignment="1">
      <alignment horizontal="center" wrapText="1"/>
    </xf>
    <xf numFmtId="0" fontId="57" fillId="0" borderId="66" xfId="0" applyFont="1" applyBorder="1" applyAlignment="1">
      <alignment wrapText="1"/>
    </xf>
    <xf numFmtId="0" fontId="57" fillId="0" borderId="67" xfId="0" applyFont="1" applyBorder="1" applyAlignment="1">
      <alignment horizontal="center" wrapText="1"/>
    </xf>
    <xf numFmtId="0" fontId="57" fillId="0" borderId="5" xfId="0" applyFont="1" applyBorder="1" applyAlignment="1">
      <alignment horizontal="center"/>
    </xf>
    <xf numFmtId="0" fontId="57" fillId="0" borderId="68" xfId="0" applyFont="1" applyBorder="1" applyAlignment="1">
      <alignment horizontal="left"/>
    </xf>
    <xf numFmtId="0" fontId="57" fillId="0" borderId="67" xfId="0" applyFont="1" applyBorder="1" applyAlignment="1">
      <alignment horizontal="center"/>
    </xf>
    <xf numFmtId="0" fontId="57" fillId="0" borderId="17" xfId="0" applyFont="1" applyBorder="1"/>
    <xf numFmtId="0" fontId="57" fillId="0" borderId="69" xfId="0" applyFont="1" applyBorder="1"/>
    <xf numFmtId="0" fontId="57" fillId="0" borderId="18" xfId="0" applyFont="1" applyBorder="1"/>
    <xf numFmtId="4" fontId="50" fillId="5" borderId="20" xfId="0" applyNumberFormat="1" applyFont="1" applyFill="1" applyBorder="1" applyAlignment="1">
      <alignment vertical="center"/>
    </xf>
    <xf numFmtId="0" fontId="13" fillId="2" borderId="0" xfId="0" applyFont="1" applyFill="1" applyAlignment="1">
      <alignment horizontal="right" vertical="top" wrapText="1" indent="5"/>
    </xf>
    <xf numFmtId="0" fontId="14" fillId="2" borderId="0" xfId="0" applyFont="1" applyFill="1" applyAlignment="1">
      <alignment horizontal="right" vertical="top" indent="5"/>
    </xf>
    <xf numFmtId="0" fontId="36" fillId="3" borderId="0" xfId="575" applyFont="1" applyFill="1" applyAlignment="1">
      <alignment horizontal="center" vertical="center"/>
    </xf>
    <xf numFmtId="0" fontId="48" fillId="5" borderId="11" xfId="575" applyFont="1" applyFill="1" applyBorder="1" applyAlignment="1">
      <alignment horizontal="center" vertical="center"/>
    </xf>
    <xf numFmtId="0" fontId="24" fillId="5" borderId="11" xfId="575" applyFont="1" applyFill="1" applyBorder="1" applyAlignment="1">
      <alignment horizontal="center" vertical="center"/>
    </xf>
    <xf numFmtId="0" fontId="50" fillId="0" borderId="59" xfId="0" applyFont="1" applyBorder="1" applyAlignment="1">
      <alignment horizontal="left" vertical="center" wrapText="1"/>
    </xf>
    <xf numFmtId="0" fontId="50" fillId="0" borderId="26" xfId="0" applyFont="1" applyBorder="1" applyAlignment="1">
      <alignment horizontal="left" vertical="center" wrapText="1"/>
    </xf>
    <xf numFmtId="0" fontId="50" fillId="0" borderId="60" xfId="0" applyFont="1" applyBorder="1" applyAlignment="1">
      <alignment horizontal="left" vertical="center" wrapText="1"/>
    </xf>
    <xf numFmtId="4" fontId="50" fillId="5" borderId="20" xfId="0" applyNumberFormat="1" applyFont="1" applyFill="1" applyBorder="1" applyAlignment="1">
      <alignment horizontal="center" vertical="center"/>
    </xf>
    <xf numFmtId="4" fontId="50" fillId="5" borderId="21" xfId="0" applyNumberFormat="1" applyFont="1" applyFill="1" applyBorder="1" applyAlignment="1">
      <alignment horizontal="center" vertical="center"/>
    </xf>
    <xf numFmtId="4" fontId="50" fillId="5" borderId="22" xfId="0" applyNumberFormat="1" applyFont="1" applyFill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8" fillId="0" borderId="61" xfId="0" applyFont="1" applyBorder="1" applyAlignment="1">
      <alignment horizontal="center" vertical="center"/>
    </xf>
  </cellXfs>
  <cellStyles count="576">
    <cellStyle name="Comma 2" xfId="3" xr:uid="{B1E75A5F-AB0A-4835-9658-5561959A2D39}"/>
    <cellStyle name="Comma 2 2" xfId="4" xr:uid="{DB6DABAA-D5C3-4975-97F7-A9DE25DF62B9}"/>
    <cellStyle name="Comma 3" xfId="5" xr:uid="{04D9B036-5185-40B6-98C1-66B107E42068}"/>
    <cellStyle name="Comma 4" xfId="80" xr:uid="{8915ECE1-95BA-4BB4-B84F-9F9285DC5797}"/>
    <cellStyle name="Comma 5" xfId="96" xr:uid="{6CBD0797-104C-4206-82D9-79CFF63D6851}"/>
    <cellStyle name="Comma 6" xfId="135" xr:uid="{A4EC312C-AD79-4577-9657-DDF37E4F96F4}"/>
    <cellStyle name="Comma 7" xfId="199" xr:uid="{8B62A29D-E340-4D2B-8A95-13FDC3977D06}"/>
    <cellStyle name="Hipersaitas" xfId="574" builtinId="8"/>
    <cellStyle name="Hyperlink 2" xfId="6" xr:uid="{94039C28-1E82-4182-B1C4-E0DBC99A0D5F}"/>
    <cellStyle name="Įprastas" xfId="0" builtinId="0"/>
    <cellStyle name="Įprastas 2" xfId="58" xr:uid="{27BC399E-BFD9-418A-A467-EE25084522DC}"/>
    <cellStyle name="Įprastas 2 2" xfId="72" xr:uid="{5F75B764-D29D-41A1-9761-59E840501CDE}"/>
    <cellStyle name="Įprastas 2 2 2" xfId="89" xr:uid="{A5B5F0BA-9F45-46D0-87CD-C545FB0D320F}"/>
    <cellStyle name="Įprastas 2 2 2 2" xfId="117" xr:uid="{59D56EDE-7864-4F49-B8E8-01DB590D607A}"/>
    <cellStyle name="Įprastas 2 2 2 2 2" xfId="181" xr:uid="{7BB00368-953B-4438-9A0B-FB451FCF6EE5}"/>
    <cellStyle name="Įprastas 2 2 2 2 2 2" xfId="305" xr:uid="{468166F8-9B54-4E6C-932D-4F063B2C625B}"/>
    <cellStyle name="Įprastas 2 2 2 2 2 2 2" xfId="549" xr:uid="{F1D9BA6B-B147-4985-BCAF-3E2F38F7FAA2}"/>
    <cellStyle name="Įprastas 2 2 2 2 2 3" xfId="430" xr:uid="{A9A2E5C9-1974-4397-B5E8-28ED7BAAE413}"/>
    <cellStyle name="Įprastas 2 2 2 2 3" xfId="245" xr:uid="{56296DDF-6BE1-4B1C-85F1-9BF017358C16}"/>
    <cellStyle name="Įprastas 2 2 2 2 3 2" xfId="490" xr:uid="{564B358F-48DE-4CA4-B0A4-77F0600797EF}"/>
    <cellStyle name="Įprastas 2 2 2 2 4" xfId="371" xr:uid="{23A70AD0-2DB9-4F0F-819A-8134A553223A}"/>
    <cellStyle name="Įprastas 2 2 2 3" xfId="156" xr:uid="{CDB6C92F-B9F3-49E8-B53D-456CD989FC93}"/>
    <cellStyle name="Įprastas 2 2 2 3 2" xfId="281" xr:uid="{1A65691E-948C-43C9-A1FD-C7A483EA8A8D}"/>
    <cellStyle name="Įprastas 2 2 2 3 2 2" xfId="525" xr:uid="{21535CD1-0812-4E0E-AF05-2D74961C5FE2}"/>
    <cellStyle name="Įprastas 2 2 2 3 3" xfId="406" xr:uid="{AABB8BAF-3CC3-4E85-B179-34ADA8D901D5}"/>
    <cellStyle name="Įprastas 2 2 2 4" xfId="221" xr:uid="{5DEA1D59-F153-49A6-9DB3-987550A83C92}"/>
    <cellStyle name="Įprastas 2 2 2 4 2" xfId="466" xr:uid="{7B24EB8C-1F64-4DC3-8355-7004E98A48D5}"/>
    <cellStyle name="Įprastas 2 2 2 5" xfId="347" xr:uid="{1CDB3F8D-66FA-4FA7-98B4-BBBA32212FC7}"/>
    <cellStyle name="Įprastas 2 2 3" xfId="105" xr:uid="{EB771AFB-411A-4454-97B8-A0F1EE0F39D8}"/>
    <cellStyle name="Įprastas 2 2 3 2" xfId="169" xr:uid="{B4BEFB97-4FBC-462D-97FA-5EB61B3F5628}"/>
    <cellStyle name="Įprastas 2 2 3 2 2" xfId="293" xr:uid="{CBC6EAEE-1760-4609-827A-EABE506CF6BA}"/>
    <cellStyle name="Įprastas 2 2 3 2 2 2" xfId="537" xr:uid="{2EA25C2B-4BE0-42D2-9CA5-0AEEAB76A980}"/>
    <cellStyle name="Įprastas 2 2 3 2 3" xfId="418" xr:uid="{3B4E9392-BBBD-43D6-A186-7914C3156D01}"/>
    <cellStyle name="Įprastas 2 2 3 3" xfId="233" xr:uid="{643D8E13-35E9-41A6-A77F-8D8372265B73}"/>
    <cellStyle name="Įprastas 2 2 3 3 2" xfId="478" xr:uid="{585C579A-C83C-4155-B18D-DB0BB39B7160}"/>
    <cellStyle name="Įprastas 2 2 3 4" xfId="359" xr:uid="{CDC4ED3A-53B0-474C-A30C-4430E6204139}"/>
    <cellStyle name="Įprastas 2 2 4" xfId="130" xr:uid="{5AF55C5B-B6C3-434B-9D02-4BCCE0BBDD43}"/>
    <cellStyle name="Įprastas 2 2 4 2" xfId="193" xr:uid="{33ABBF20-3D8F-4D94-9DE8-D76902B0DC67}"/>
    <cellStyle name="Įprastas 2 2 4 2 2" xfId="317" xr:uid="{D7A69A4C-15AD-432A-9C5F-FC619F6FD8C9}"/>
    <cellStyle name="Įprastas 2 2 4 2 2 2" xfId="561" xr:uid="{A207D283-B63F-4615-9857-C78128DBC437}"/>
    <cellStyle name="Įprastas 2 2 4 2 3" xfId="442" xr:uid="{5611845D-5BFB-4903-A175-01F0E5E50A45}"/>
    <cellStyle name="Įprastas 2 2 4 3" xfId="257" xr:uid="{6C04A7A4-4A93-4333-9271-7AFE1932317E}"/>
    <cellStyle name="Įprastas 2 2 4 3 2" xfId="502" xr:uid="{BB417D92-6236-40F2-84DC-DEA34166D48B}"/>
    <cellStyle name="Įprastas 2 2 4 4" xfId="383" xr:uid="{8DBE4D64-B777-4449-B401-EA30771A05F1}"/>
    <cellStyle name="Įprastas 2 2 5" xfId="144" xr:uid="{EB06C160-D129-4E0D-8C9F-D9A6854DCE15}"/>
    <cellStyle name="Įprastas 2 2 5 2" xfId="269" xr:uid="{8E836735-81B9-4EBD-8A16-644E58E06475}"/>
    <cellStyle name="Įprastas 2 2 5 2 2" xfId="513" xr:uid="{96307299-0E49-4327-B6EF-D2FE3D873942}"/>
    <cellStyle name="Įprastas 2 2 5 3" xfId="394" xr:uid="{DC0EC21E-E02E-4BD4-945E-6B94B00DCE0F}"/>
    <cellStyle name="Įprastas 2 2 6" xfId="209" xr:uid="{9B1D8BF6-95B7-4356-9B31-0770EF3289D4}"/>
    <cellStyle name="Įprastas 2 2 6 2" xfId="454" xr:uid="{E6F17151-0137-4CB0-AD33-452CAD71D1B0}"/>
    <cellStyle name="Įprastas 2 2 7" xfId="335" xr:uid="{568DE034-1249-45A8-9BD0-76D547938646}"/>
    <cellStyle name="Įprastas 2 3" xfId="84" xr:uid="{864B2BDA-CE26-4A58-AA0D-3A5E7AC70B60}"/>
    <cellStyle name="Įprastas 2 3 2" xfId="112" xr:uid="{78355DB8-6450-43C9-89F2-4A1462046685}"/>
    <cellStyle name="Įprastas 2 3 2 2" xfId="176" xr:uid="{CB0438C6-F250-4094-8EE9-C6B231395054}"/>
    <cellStyle name="Įprastas 2 3 2 2 2" xfId="300" xr:uid="{3BB5649C-E4ED-4A9B-893F-A154C0E1B3C3}"/>
    <cellStyle name="Įprastas 2 3 2 2 2 2" xfId="544" xr:uid="{CEAF42B1-1217-4AF8-B465-4FB2E9DE9731}"/>
    <cellStyle name="Įprastas 2 3 2 2 3" xfId="425" xr:uid="{17CDB21F-0A52-4F28-ACB5-87C56E4D5DD8}"/>
    <cellStyle name="Įprastas 2 3 2 3" xfId="240" xr:uid="{04165F60-F8BF-4FB8-B19A-026DDDF0A1D9}"/>
    <cellStyle name="Įprastas 2 3 2 3 2" xfId="485" xr:uid="{8CBFB0AD-6F45-47F5-89C6-FBEDD64558F2}"/>
    <cellStyle name="Įprastas 2 3 2 4" xfId="366" xr:uid="{4523A952-8E7E-45BF-ACC1-F38AE69F8655}"/>
    <cellStyle name="Įprastas 2 3 3" xfId="151" xr:uid="{CBBAA3AB-2D52-4748-A1C8-1BACFA981E43}"/>
    <cellStyle name="Įprastas 2 3 3 2" xfId="276" xr:uid="{657F9C60-8C98-40F0-BB17-9910D3723CDD}"/>
    <cellStyle name="Įprastas 2 3 3 2 2" xfId="520" xr:uid="{9338B82D-27EB-47FD-ABAF-E2B4F202864B}"/>
    <cellStyle name="Įprastas 2 3 3 3" xfId="401" xr:uid="{B2CBFFE4-33A6-4561-AF99-872A46BEE44C}"/>
    <cellStyle name="Įprastas 2 3 4" xfId="216" xr:uid="{38676A30-4CB9-48D5-93FA-65B35EA6049A}"/>
    <cellStyle name="Įprastas 2 3 4 2" xfId="461" xr:uid="{6FC757C1-CF81-414B-905A-2DC16F849B30}"/>
    <cellStyle name="Įprastas 2 3 5" xfId="342" xr:uid="{9CAE5AA3-9DBF-4219-8DCE-5FD151903702}"/>
    <cellStyle name="Įprastas 2 4" xfId="100" xr:uid="{AA7CBB51-1DC6-4AFF-9E88-E8C6E801962B}"/>
    <cellStyle name="Įprastas 2 4 2" xfId="164" xr:uid="{35B0FA07-58D0-4DF0-BAE1-2C8FD5B14F8C}"/>
    <cellStyle name="Įprastas 2 4 2 2" xfId="288" xr:uid="{E04B2AF5-1856-4CB2-9CF6-5CBF1EE55B5B}"/>
    <cellStyle name="Įprastas 2 4 2 2 2" xfId="532" xr:uid="{616E5FC9-D9C1-454B-9A07-EEF16862EEE5}"/>
    <cellStyle name="Įprastas 2 4 2 3" xfId="413" xr:uid="{EA013E95-AD9E-4FE8-971F-08CCEE324D53}"/>
    <cellStyle name="Įprastas 2 4 3" xfId="228" xr:uid="{64893168-C6E7-4F78-919F-E2BF369185EF}"/>
    <cellStyle name="Įprastas 2 4 3 2" xfId="473" xr:uid="{DA3D6279-EDF3-4F87-B8D8-A5CC1A82E37D}"/>
    <cellStyle name="Įprastas 2 4 4" xfId="354" xr:uid="{8250C526-ABDC-4893-B50F-DC15EE4A11D2}"/>
    <cellStyle name="Įprastas 2 5" xfId="125" xr:uid="{5D028BA1-8CB3-4B5B-9EC7-C0F6AD612E39}"/>
    <cellStyle name="Įprastas 2 5 2" xfId="188" xr:uid="{E7C6266E-84E2-4151-BD02-E05DFE5A390F}"/>
    <cellStyle name="Įprastas 2 5 2 2" xfId="312" xr:uid="{EC8D2654-5C3B-4F54-8A1D-B586C5DB621C}"/>
    <cellStyle name="Įprastas 2 5 2 2 2" xfId="556" xr:uid="{10DB394F-AE03-4D4C-8275-2733CE0B1FE7}"/>
    <cellStyle name="Įprastas 2 5 2 3" xfId="437" xr:uid="{B5DB6FDB-F095-468C-A74A-3A6438D5EE2A}"/>
    <cellStyle name="Įprastas 2 5 3" xfId="252" xr:uid="{E526D969-F02F-450D-8EE4-9C879249351D}"/>
    <cellStyle name="Įprastas 2 5 3 2" xfId="497" xr:uid="{36A346D5-7CD2-4EF0-8424-B60A2B1C754F}"/>
    <cellStyle name="Įprastas 2 5 4" xfId="378" xr:uid="{D3E736DD-06B4-4B3E-9BD0-CE95BC1377F0}"/>
    <cellStyle name="Įprastas 2 6" xfId="139" xr:uid="{136E14B1-0332-4C7A-94DA-77BC3B1C80F6}"/>
    <cellStyle name="Įprastas 2 6 2" xfId="264" xr:uid="{B22A48D8-3411-491E-AE75-13567B1C6865}"/>
    <cellStyle name="Įprastas 2 6 2 2" xfId="508" xr:uid="{E9CBF056-6830-4EB2-83B8-B4DB99EEA39B}"/>
    <cellStyle name="Įprastas 2 6 3" xfId="389" xr:uid="{717FAC60-567B-40B3-A32B-E4E9F9C8054A}"/>
    <cellStyle name="Įprastas 2 7" xfId="204" xr:uid="{0CE4F0AC-1A8B-4716-AF17-5C2E4635EB4B}"/>
    <cellStyle name="Įprastas 2 7 2" xfId="449" xr:uid="{E6C5092B-183C-419A-BCB6-973CEF66A3CA}"/>
    <cellStyle name="Įprastas 2 8" xfId="330" xr:uid="{841CB800-9A98-4910-A36F-68C57C1CADA0}"/>
    <cellStyle name="Įprastas 3" xfId="571" xr:uid="{35E28FE5-5ECE-4CCD-8C33-DFF0752688D3}"/>
    <cellStyle name="Kablelis" xfId="573" builtinId="3"/>
    <cellStyle name="Kablelis 2" xfId="60" xr:uid="{5A89D00B-4A72-4EDB-85FF-D1A74627D532}"/>
    <cellStyle name="Kablelis 2 2" xfId="74" xr:uid="{A7071FFC-8F75-43CE-9FF3-93EC64381B09}"/>
    <cellStyle name="Kablelis 2 2 2" xfId="91" xr:uid="{546B6D65-0891-4643-BE43-44AA2AE10F8E}"/>
    <cellStyle name="Kablelis 2 2 2 2" xfId="119" xr:uid="{638D5D35-E875-43F3-84BF-B229844030FF}"/>
    <cellStyle name="Kablelis 2 2 2 2 2" xfId="183" xr:uid="{94C9D1C5-0AA0-4B3C-96BF-EB9D521EC572}"/>
    <cellStyle name="Kablelis 2 2 2 2 2 2" xfId="307" xr:uid="{573DD94C-E042-4C84-94B9-91D661D2BC3D}"/>
    <cellStyle name="Kablelis 2 2 2 2 2 2 2" xfId="551" xr:uid="{AB824A18-2A6A-4AD9-A26B-8648D99DAF72}"/>
    <cellStyle name="Kablelis 2 2 2 2 2 3" xfId="432" xr:uid="{3F5F856A-E518-456A-8CD4-F83FC8714B72}"/>
    <cellStyle name="Kablelis 2 2 2 2 3" xfId="247" xr:uid="{6D295BFE-B9C2-4829-848B-F1F165667C91}"/>
    <cellStyle name="Kablelis 2 2 2 2 3 2" xfId="492" xr:uid="{4ADFFEAB-85F1-4AF4-9F0E-87E9D64B482E}"/>
    <cellStyle name="Kablelis 2 2 2 2 4" xfId="373" xr:uid="{AA171549-0A24-4E64-949D-831915649D42}"/>
    <cellStyle name="Kablelis 2 2 2 3" xfId="158" xr:uid="{9D93D888-C40B-4433-AFD9-B949A6756C71}"/>
    <cellStyle name="Kablelis 2 2 2 3 2" xfId="283" xr:uid="{0D7A1A28-56FE-4FE9-9C69-01E72CDAC6EC}"/>
    <cellStyle name="Kablelis 2 2 2 3 2 2" xfId="527" xr:uid="{685B869D-0F97-4E17-90D4-04C4DD8F38FB}"/>
    <cellStyle name="Kablelis 2 2 2 3 3" xfId="408" xr:uid="{14A08437-9827-4F73-9F18-9BB443BDE673}"/>
    <cellStyle name="Kablelis 2 2 2 4" xfId="223" xr:uid="{DBBC7180-67FF-4F79-B702-A361F5AF19C5}"/>
    <cellStyle name="Kablelis 2 2 2 4 2" xfId="468" xr:uid="{F84DB614-280B-465C-A964-8B51501EB1C9}"/>
    <cellStyle name="Kablelis 2 2 2 5" xfId="349" xr:uid="{E6DCF8ED-C4DE-4210-88FF-9B7D8E664F81}"/>
    <cellStyle name="Kablelis 2 2 3" xfId="107" xr:uid="{BA5F283E-EFA1-4021-B622-82707BB4ED03}"/>
    <cellStyle name="Kablelis 2 2 3 2" xfId="171" xr:uid="{AAAD3144-BE8B-43BA-BE9E-1C7979FDB610}"/>
    <cellStyle name="Kablelis 2 2 3 2 2" xfId="295" xr:uid="{ED0B8503-47DA-45E1-BB2E-490F651C4FFD}"/>
    <cellStyle name="Kablelis 2 2 3 2 2 2" xfId="539" xr:uid="{BDF0ABCA-4111-4F61-8C4F-AECC5CB30DE6}"/>
    <cellStyle name="Kablelis 2 2 3 2 3" xfId="420" xr:uid="{0792FADA-19CE-4DD5-B2C5-DFF3D9B0978C}"/>
    <cellStyle name="Kablelis 2 2 3 3" xfId="235" xr:uid="{96346BAD-EB86-4DA9-A4B4-10D3D8783CE0}"/>
    <cellStyle name="Kablelis 2 2 3 3 2" xfId="480" xr:uid="{812696F5-511F-46A3-BD09-BCFCFC8DE550}"/>
    <cellStyle name="Kablelis 2 2 3 4" xfId="361" xr:uid="{CBD07EE7-D930-4C41-AE52-9C3F952C5F27}"/>
    <cellStyle name="Kablelis 2 2 4" xfId="132" xr:uid="{0EECAB1F-3ABB-4FBD-830C-35BCDCBDE23E}"/>
    <cellStyle name="Kablelis 2 2 4 2" xfId="195" xr:uid="{0D59B6BE-4270-43B2-8D9A-8F633572F182}"/>
    <cellStyle name="Kablelis 2 2 4 2 2" xfId="319" xr:uid="{039BBB81-ADB5-434E-947D-6A2F2E88BC63}"/>
    <cellStyle name="Kablelis 2 2 4 2 2 2" xfId="563" xr:uid="{A35B8614-7A01-4D09-9098-B46D3786D661}"/>
    <cellStyle name="Kablelis 2 2 4 2 3" xfId="444" xr:uid="{DC5E787D-32B0-4C3D-85B7-3F82B99DAFBE}"/>
    <cellStyle name="Kablelis 2 2 4 3" xfId="259" xr:uid="{84A3A0F9-4262-43B9-9DB9-8A93C29FF379}"/>
    <cellStyle name="Kablelis 2 2 4 3 2" xfId="504" xr:uid="{EEEA1BB8-4177-42C2-8DF9-917459E135AF}"/>
    <cellStyle name="Kablelis 2 2 4 4" xfId="385" xr:uid="{F86DF15A-1144-40D5-9A27-5F62EE012321}"/>
    <cellStyle name="Kablelis 2 2 5" xfId="146" xr:uid="{D4563BEC-CB3B-4893-8404-D9499E6D450D}"/>
    <cellStyle name="Kablelis 2 2 5 2" xfId="271" xr:uid="{2708B51B-B931-4661-A9B6-A8DC105180B4}"/>
    <cellStyle name="Kablelis 2 2 5 2 2" xfId="515" xr:uid="{9F340A96-8EAD-44B2-B2BA-4D842CDC717C}"/>
    <cellStyle name="Kablelis 2 2 5 3" xfId="396" xr:uid="{1248551B-AD77-4E4B-8861-66161CB92186}"/>
    <cellStyle name="Kablelis 2 2 6" xfId="211" xr:uid="{370F2D67-8558-43E1-83FC-463459D7EB41}"/>
    <cellStyle name="Kablelis 2 2 6 2" xfId="456" xr:uid="{6D39F187-F38F-4C15-AA1A-779365C5FC63}"/>
    <cellStyle name="Kablelis 2 2 7" xfId="337" xr:uid="{D2945EF2-AA5C-43CD-8A9C-8D6F53F1719C}"/>
    <cellStyle name="Kablelis 2 3" xfId="86" xr:uid="{BB29EE79-75DE-45E6-BDCC-D63CD3DC7705}"/>
    <cellStyle name="Kablelis 2 3 2" xfId="114" xr:uid="{C542245A-6FB2-4BA0-B81F-C7C3868140C0}"/>
    <cellStyle name="Kablelis 2 3 2 2" xfId="178" xr:uid="{3F817D78-A4C1-4200-A65D-EE55FAE6960E}"/>
    <cellStyle name="Kablelis 2 3 2 2 2" xfId="302" xr:uid="{8F58857D-9D78-4EE2-A69A-F61F9AD9D981}"/>
    <cellStyle name="Kablelis 2 3 2 2 2 2" xfId="546" xr:uid="{31167CB1-FCF1-4DB9-8CBE-E67310329E68}"/>
    <cellStyle name="Kablelis 2 3 2 2 3" xfId="427" xr:uid="{7302B9D9-D66D-441D-91E0-C932B94179AE}"/>
    <cellStyle name="Kablelis 2 3 2 3" xfId="242" xr:uid="{F3093B60-C46B-42C5-A4E2-0271140B01FF}"/>
    <cellStyle name="Kablelis 2 3 2 3 2" xfId="487" xr:uid="{76022007-8A2D-4EBC-98C1-8BD0C225794D}"/>
    <cellStyle name="Kablelis 2 3 2 4" xfId="368" xr:uid="{9CBF18F9-053F-4FEE-A7CC-3825473ACF5D}"/>
    <cellStyle name="Kablelis 2 3 3" xfId="153" xr:uid="{6605FCC0-3504-4D9C-BBB9-D97D43C4F21E}"/>
    <cellStyle name="Kablelis 2 3 3 2" xfId="278" xr:uid="{592DE0AA-2FAE-4FCA-AC25-5794CCEE1875}"/>
    <cellStyle name="Kablelis 2 3 3 2 2" xfId="522" xr:uid="{DF9D7A06-B66E-4441-986A-2DBD16ED0F39}"/>
    <cellStyle name="Kablelis 2 3 3 3" xfId="403" xr:uid="{4B372A53-87FC-4C6A-90B4-EB4FB32ABD71}"/>
    <cellStyle name="Kablelis 2 3 4" xfId="218" xr:uid="{E4A97EC0-277F-439A-A2FC-F0B8C7A48781}"/>
    <cellStyle name="Kablelis 2 3 4 2" xfId="463" xr:uid="{8CD6AF9E-0786-427E-A37A-446F55628C3A}"/>
    <cellStyle name="Kablelis 2 3 5" xfId="344" xr:uid="{24D8EA15-77BD-42F6-AE0B-F26501B1B4B6}"/>
    <cellStyle name="Kablelis 2 4" xfId="102" xr:uid="{30FCA56D-0DF0-41FE-BFCF-3304E81C8CF9}"/>
    <cellStyle name="Kablelis 2 4 2" xfId="166" xr:uid="{1F0E131C-4937-4C66-9E76-9729382333DC}"/>
    <cellStyle name="Kablelis 2 4 2 2" xfId="290" xr:uid="{75825F30-FE28-4C82-A4AE-608B6D0647F3}"/>
    <cellStyle name="Kablelis 2 4 2 2 2" xfId="534" xr:uid="{9391561B-7B6B-44AC-8146-349F819D24F6}"/>
    <cellStyle name="Kablelis 2 4 2 3" xfId="415" xr:uid="{78D97887-9C51-4AB6-A03D-73DA0875235C}"/>
    <cellStyle name="Kablelis 2 4 3" xfId="230" xr:uid="{CF0D14B0-5EE1-4694-A23A-607734982A71}"/>
    <cellStyle name="Kablelis 2 4 3 2" xfId="475" xr:uid="{3BE14C0C-49CC-4558-9BB3-1F3ADEDDC1B3}"/>
    <cellStyle name="Kablelis 2 4 4" xfId="356" xr:uid="{B943E53D-4D8E-430B-AAB5-9FCDC03FBF77}"/>
    <cellStyle name="Kablelis 2 5" xfId="127" xr:uid="{E79955F4-255F-4728-8837-66F967E4B87E}"/>
    <cellStyle name="Kablelis 2 5 2" xfId="190" xr:uid="{971AEC47-E6DA-44CF-964C-4B1C74CF7A05}"/>
    <cellStyle name="Kablelis 2 5 2 2" xfId="314" xr:uid="{91B18FDD-27A4-4D58-98D6-0A6842D5401C}"/>
    <cellStyle name="Kablelis 2 5 2 2 2" xfId="558" xr:uid="{F11E5D18-F51B-40E3-BA53-38A04ECCA96C}"/>
    <cellStyle name="Kablelis 2 5 2 3" xfId="439" xr:uid="{FDCB1072-A508-462B-9789-5D5079A03A61}"/>
    <cellStyle name="Kablelis 2 5 3" xfId="254" xr:uid="{F9431B3F-28FB-475F-9404-F104ABBC5B7B}"/>
    <cellStyle name="Kablelis 2 5 3 2" xfId="499" xr:uid="{35B6968E-9CEC-46DC-9AF8-245AB0C8191C}"/>
    <cellStyle name="Kablelis 2 5 4" xfId="380" xr:uid="{C4C1EC0A-A357-4884-8C73-D0BBB60A8350}"/>
    <cellStyle name="Kablelis 2 6" xfId="141" xr:uid="{8C638A52-7D5C-483D-820A-6659F0B526FF}"/>
    <cellStyle name="Kablelis 2 6 2" xfId="266" xr:uid="{79B7E57C-1ED5-426E-B625-BA54055C0578}"/>
    <cellStyle name="Kablelis 2 6 2 2" xfId="510" xr:uid="{37DA68C7-FBFA-4355-B16B-FB8C412B2E60}"/>
    <cellStyle name="Kablelis 2 6 3" xfId="391" xr:uid="{38936ADC-D15C-4FA5-8B3A-83A2DB0DC88C}"/>
    <cellStyle name="Kablelis 2 7" xfId="206" xr:uid="{18518E11-0AB5-4263-899D-905A12A95394}"/>
    <cellStyle name="Kablelis 2 7 2" xfId="451" xr:uid="{C293D5A3-8521-45CE-9F7B-A90AD4258947}"/>
    <cellStyle name="Kablelis 2 8" xfId="332" xr:uid="{85FDF0E7-53C5-4EAB-9209-860416CB9AE7}"/>
    <cellStyle name="Normal 10" xfId="7" xr:uid="{2F840288-9534-4C0A-8C8E-A256EF9B6C73}"/>
    <cellStyle name="Normal 10 2" xfId="8" xr:uid="{417E0AAE-5608-4ACB-B94F-9D5A0C9A8D60}"/>
    <cellStyle name="Normal 10 3" xfId="62" xr:uid="{81E0A469-6749-487B-A731-5707CA9D3FE8}"/>
    <cellStyle name="Normal 11" xfId="9" xr:uid="{C3ACDD24-08AB-414D-B08C-629468ED2D69}"/>
    <cellStyle name="Normal 11 2" xfId="10" xr:uid="{3A1BF9D7-12C9-49CB-A21B-941CC9A9B838}"/>
    <cellStyle name="Normal 12" xfId="75" xr:uid="{56E8336E-2DA7-4DFD-B83B-84B94464B3ED}"/>
    <cellStyle name="Normal 13" xfId="11" xr:uid="{5D7956BE-5478-466E-9CBC-3F4BA01B43BE}"/>
    <cellStyle name="Normal 13 2" xfId="12" xr:uid="{D1F9EB75-8A05-4568-9B9B-99C4D39152D2}"/>
    <cellStyle name="Normal 13 3" xfId="63" xr:uid="{A60F13E6-F732-4A1D-91CA-A1F28A65E3B6}"/>
    <cellStyle name="Normal 14" xfId="79" xr:uid="{C4B8AF8F-4FED-4920-AF0C-AFF7540D847C}"/>
    <cellStyle name="Normal 14 2" xfId="93" xr:uid="{E8F9CF67-C698-4E47-AB34-B2F99A8FC10F}"/>
    <cellStyle name="Normal 15" xfId="78" xr:uid="{BF18182D-F52B-4C4B-B5AD-F8584D70D3D1}"/>
    <cellStyle name="Normal 15 2" xfId="109" xr:uid="{E8014A11-7805-4250-8F70-9E68CFA38118}"/>
    <cellStyle name="Normal 15 2 2" xfId="173" xr:uid="{FC282962-6559-4CCC-A6D5-CE6D21742E10}"/>
    <cellStyle name="Normal 15 2 2 2" xfId="297" xr:uid="{652AD9CE-3800-46FB-A0EB-18E8E1E727A6}"/>
    <cellStyle name="Normal 15 2 2 2 2" xfId="541" xr:uid="{11703A73-4D19-41A9-ACAF-0152C3A45D4C}"/>
    <cellStyle name="Normal 15 2 2 3" xfId="422" xr:uid="{38E06D61-95A1-44FD-B2FE-EA12045E087D}"/>
    <cellStyle name="Normal 15 2 3" xfId="237" xr:uid="{5C40E2BA-3331-45D8-9104-71B6CACD4A11}"/>
    <cellStyle name="Normal 15 2 3 2" xfId="482" xr:uid="{5DAB5E3B-FFDC-4B60-AD75-88BF80DD3806}"/>
    <cellStyle name="Normal 15 2 4" xfId="363" xr:uid="{4A053029-A00D-4934-8C97-1571D69D06EB}"/>
    <cellStyle name="Normal 15 3" xfId="148" xr:uid="{1A7B7938-F01D-4E97-BA86-F35B3E277045}"/>
    <cellStyle name="Normal 15 3 2" xfId="273" xr:uid="{76DDD8F5-23EE-426E-A4CA-35C9E534F7F0}"/>
    <cellStyle name="Normal 15 3 2 2" xfId="517" xr:uid="{DFB41EEE-F765-4D19-9010-D636F2346C9E}"/>
    <cellStyle name="Normal 15 3 3" xfId="398" xr:uid="{95E33B32-2FDF-44D9-9431-0A3A6E967B1E}"/>
    <cellStyle name="Normal 15 4" xfId="213" xr:uid="{3E5B8698-0D5D-4D2E-BF43-2442DA51C4D2}"/>
    <cellStyle name="Normal 15 4 2" xfId="458" xr:uid="{FB1DA6FD-28E0-453A-90BE-9DEEB657063E}"/>
    <cellStyle name="Normal 15 5" xfId="339" xr:uid="{A83B8DBF-FCE1-4271-84B2-19051F5FDA71}"/>
    <cellStyle name="Normal 16" xfId="95" xr:uid="{E0C07A73-644A-49A8-A6C7-6644EA14C238}"/>
    <cellStyle name="Normal 16 2" xfId="161" xr:uid="{2A916BF3-C4EE-4006-A439-A9E15D1EB81A}"/>
    <cellStyle name="Normal 17" xfId="94" xr:uid="{3890244C-3CBD-4D6D-83D6-793F956F3FEE}"/>
    <cellStyle name="Normal 17 2" xfId="160" xr:uid="{8ED3F37D-E605-47AA-949B-BF2EE2904420}"/>
    <cellStyle name="Normal 17 2 2" xfId="285" xr:uid="{DFAA5AED-A914-42D4-874C-E85C863C3861}"/>
    <cellStyle name="Normal 17 2 2 2" xfId="529" xr:uid="{C25319DD-3E59-440F-91DE-549824351EFF}"/>
    <cellStyle name="Normal 17 2 3" xfId="410" xr:uid="{160E037F-A0E7-4901-BA44-ADDC812EF65D}"/>
    <cellStyle name="Normal 17 3" xfId="225" xr:uid="{AB55EDD1-418A-4976-823A-924577F2CA4B}"/>
    <cellStyle name="Normal 17 3 2" xfId="470" xr:uid="{90EA0579-9DFA-454E-849C-1013ACF993E2}"/>
    <cellStyle name="Normal 17 4" xfId="351" xr:uid="{82277B18-136A-45B2-9A03-4F99CF719B99}"/>
    <cellStyle name="Normal 18" xfId="121" xr:uid="{DBB5D38D-F945-46E9-8EBA-A77800E6135C}"/>
    <cellStyle name="Normal 18 2" xfId="185" xr:uid="{5AA13963-C790-4AEA-97E8-13FA5F31AA86}"/>
    <cellStyle name="Normal 18 2 2" xfId="309" xr:uid="{F27AA93A-3B67-4884-99EA-392CAEDD5E12}"/>
    <cellStyle name="Normal 18 2 2 2" xfId="553" xr:uid="{A95AC00B-5B3F-46E3-A3A6-A8F76A93F264}"/>
    <cellStyle name="Normal 18 2 3" xfId="434" xr:uid="{903C8518-7E60-426A-8760-4827AA61CBA5}"/>
    <cellStyle name="Normal 18 3" xfId="249" xr:uid="{58A56BE2-A99D-42A3-9BDE-264DF2B5C917}"/>
    <cellStyle name="Normal 18 3 2" xfId="494" xr:uid="{84E27A85-7F53-4CD6-834A-581EC91C94B5}"/>
    <cellStyle name="Normal 18 4" xfId="375" xr:uid="{BC3C3AB7-3229-4C87-91F2-1A63F077307B}"/>
    <cellStyle name="Normal 19" xfId="134" xr:uid="{D09A7EBE-92E9-47EE-A786-50A0CBCA273E}"/>
    <cellStyle name="Normal 19 2" xfId="261" xr:uid="{5D32CD66-6485-4636-81A4-155CAABE4E96}"/>
    <cellStyle name="Normal 2" xfId="13" xr:uid="{EE2E4143-C23A-421C-B9F3-76423CB5B823}"/>
    <cellStyle name="Normal 2 2" xfId="14" xr:uid="{AF1D5C34-9430-45DB-953F-18885EE07CA0}"/>
    <cellStyle name="Normal 2 2 2" xfId="15" xr:uid="{F0834570-1657-45CF-8121-04878090ADA2}"/>
    <cellStyle name="Normal 2 2 3" xfId="16" xr:uid="{8BDFAABB-C9F1-4D99-A928-90FEA78905AC}"/>
    <cellStyle name="Normal 2 2 4" xfId="17" xr:uid="{5EC5E84E-0619-458D-A8EA-8336BAA3F90F}"/>
    <cellStyle name="Normal 2 2 5" xfId="18" xr:uid="{0D27E36C-5D80-4D89-9C9F-1D659815AC81}"/>
    <cellStyle name="Normal 2 2 6" xfId="19" xr:uid="{EE5146A1-B949-401D-BE18-7B4D4C581A6C}"/>
    <cellStyle name="Normal 2 2 7" xfId="20" xr:uid="{0A751259-2775-42B5-9878-71E18FE969B9}"/>
    <cellStyle name="Normal 2 2 8" xfId="64" xr:uid="{5A3718ED-76AA-4E2A-8BCD-AA5C75DF0BBC}"/>
    <cellStyle name="Normal 2 3" xfId="21" xr:uid="{118AB493-3750-4442-9768-D19B0AB69064}"/>
    <cellStyle name="Normal 2 4" xfId="22" xr:uid="{F607D269-7ED7-4576-8756-D741C6805C68}"/>
    <cellStyle name="Normal 2 5" xfId="23" xr:uid="{F05DD5A2-E28B-41AE-95BE-7726A604EE8B}"/>
    <cellStyle name="Normal 2 5 2" xfId="65" xr:uid="{1B99FB14-273D-4448-9268-53F78FD42AD0}"/>
    <cellStyle name="Normal 2 6" xfId="24" xr:uid="{584892F8-C3F9-4AF4-88E6-FB9301D12162}"/>
    <cellStyle name="Normal 2 6 2" xfId="66" xr:uid="{FD507BA0-0708-4492-B983-0B8AC40BBA7A}"/>
    <cellStyle name="Normal 2 7" xfId="25" xr:uid="{038830B2-4FC8-4F38-867B-0F3F00403A12}"/>
    <cellStyle name="Normal 2 7 2" xfId="67" xr:uid="{D1AE0EE0-14BB-4A5F-9BC9-00AF4A816FA6}"/>
    <cellStyle name="Normal 2 8" xfId="77" xr:uid="{8E55FA8F-70CF-4116-8A25-C82B06810458}"/>
    <cellStyle name="Normal 20" xfId="133" xr:uid="{A49A19D0-7948-4B31-82E4-23EE222CAC4B}"/>
    <cellStyle name="Normal 20 2" xfId="260" xr:uid="{B84B66EF-3BB2-448F-B227-BD69E31D6064}"/>
    <cellStyle name="Normal 20 2 2" xfId="505" xr:uid="{7C773A7B-0F3C-4B6D-AD91-C451CC7CB660}"/>
    <cellStyle name="Normal 20 3" xfId="386" xr:uid="{0DC8583B-4BFB-4CD0-AB03-FB50F09276BF}"/>
    <cellStyle name="Normal 21" xfId="196" xr:uid="{C1C14555-89F3-455F-BA55-984758774BA9}"/>
    <cellStyle name="Normal 21 2" xfId="320" xr:uid="{E05150DC-4B8F-4338-A003-F09BC48C8DBB}"/>
    <cellStyle name="Normal 21 2 2" xfId="564" xr:uid="{7BD29F47-0635-41AC-B830-4832B5294B7B}"/>
    <cellStyle name="Normal 21 3" xfId="445" xr:uid="{AC66090C-367E-4100-ACA6-D9A30ABC9F42}"/>
    <cellStyle name="Normal 22" xfId="198" xr:uid="{4201046D-C8D5-4631-BBCF-E5BC634A61E2}"/>
    <cellStyle name="Normal 22 2" xfId="203" xr:uid="{156CF000-084B-402A-84EA-AF5EB7B70DF9}"/>
    <cellStyle name="Normal 22 3" xfId="321" xr:uid="{555455D0-C635-459A-81EE-1AA18341E3E0}"/>
    <cellStyle name="Normal 23" xfId="197" xr:uid="{CC7B823C-2ABD-427F-B0B6-1A11055D9762}"/>
    <cellStyle name="Normal 23 2" xfId="446" xr:uid="{BCBD22BB-2FA3-42A5-B62E-E6D3A7113F29}"/>
    <cellStyle name="Normal 24" xfId="322" xr:uid="{C8CF20E0-F2D3-46B3-872F-0E07E2924C8E}"/>
    <cellStyle name="Normal 24 2" xfId="565" xr:uid="{ABDCBB0B-5D2A-4954-808C-810788A1D517}"/>
    <cellStyle name="Normal 25" xfId="323" xr:uid="{D660436C-E6C0-4ED1-A40F-F712CFD3C8B7}"/>
    <cellStyle name="Normal 25 2" xfId="566" xr:uid="{2AEAC914-DB43-46D9-BA9A-C324B2DC46C7}"/>
    <cellStyle name="Normal 26" xfId="324" xr:uid="{CC888B09-CDF6-4ED0-8ADD-9E2095DC6F09}"/>
    <cellStyle name="Normal 26 2" xfId="567" xr:uid="{EAA2EDE7-4F66-4C15-B005-2A7ED3FD2D76}"/>
    <cellStyle name="Normal 27" xfId="326" xr:uid="{ED69C6F0-9385-487A-8AB0-69F806F6C3C4}"/>
    <cellStyle name="Normal 28" xfId="325" xr:uid="{80F03169-FFB0-4B74-8E72-C75E3F5B7FBB}"/>
    <cellStyle name="Normal 29" xfId="568" xr:uid="{2E7B0936-E7AF-4144-9FDF-D1284080EEAB}"/>
    <cellStyle name="Normal 3" xfId="26" xr:uid="{C3039EE2-6369-4F2E-AF17-2B81E22D6D33}"/>
    <cellStyle name="Normal 3 2" xfId="68" xr:uid="{30848A62-8B85-40CA-AC7F-3D171B7AC430}"/>
    <cellStyle name="Normal 3 2 2" xfId="87" xr:uid="{55431882-6583-457B-A1BE-1D7D14009C02}"/>
    <cellStyle name="Normal 3 2 2 2" xfId="115" xr:uid="{6AB98DD0-A570-4720-8129-CF515B1021BA}"/>
    <cellStyle name="Normal 3 2 2 2 2" xfId="179" xr:uid="{EB7853A5-33B4-4F96-BD76-1726978A9CC9}"/>
    <cellStyle name="Normal 3 2 2 2 2 2" xfId="303" xr:uid="{AFB82D55-D497-4984-8944-B0C206A06BAB}"/>
    <cellStyle name="Normal 3 2 2 2 2 2 2" xfId="547" xr:uid="{203DDE1E-626C-4F1D-884B-CA5809033423}"/>
    <cellStyle name="Normal 3 2 2 2 2 3" xfId="428" xr:uid="{E07C8AD5-F2AF-4349-BDB6-E374422E663A}"/>
    <cellStyle name="Normal 3 2 2 2 3" xfId="243" xr:uid="{6220147E-3B08-4DD5-9428-13865396BFC0}"/>
    <cellStyle name="Normal 3 2 2 2 3 2" xfId="488" xr:uid="{660D7A41-938F-4419-9DE9-15144C04200C}"/>
    <cellStyle name="Normal 3 2 2 2 4" xfId="369" xr:uid="{F98B72FB-F541-4C61-B197-2EDEE756A862}"/>
    <cellStyle name="Normal 3 2 2 3" xfId="154" xr:uid="{3813605A-EDED-4E2F-8B52-F4E15105717F}"/>
    <cellStyle name="Normal 3 2 2 3 2" xfId="279" xr:uid="{22BB20D3-003B-49E8-A8C3-D73993BF08BB}"/>
    <cellStyle name="Normal 3 2 2 3 2 2" xfId="523" xr:uid="{93B4232D-9805-49B7-BE55-5023A45ECEC7}"/>
    <cellStyle name="Normal 3 2 2 3 3" xfId="404" xr:uid="{58CD7FE4-FEA4-439E-9F3B-67C0E9640A39}"/>
    <cellStyle name="Normal 3 2 2 4" xfId="219" xr:uid="{D27F1311-1B08-4BFD-B748-67351E80D2AC}"/>
    <cellStyle name="Normal 3 2 2 4 2" xfId="464" xr:uid="{899A8227-73C8-43E1-BE15-FFC91ADF8FC3}"/>
    <cellStyle name="Normal 3 2 2 5" xfId="345" xr:uid="{B74EA16C-7F1F-4E61-A11A-05EA711E9116}"/>
    <cellStyle name="Normal 3 2 3" xfId="103" xr:uid="{61E48756-2B5E-4CBB-B9AD-87A2E8787BD5}"/>
    <cellStyle name="Normal 3 2 3 2" xfId="167" xr:uid="{F062261E-82A9-46FE-8865-71592DD801FB}"/>
    <cellStyle name="Normal 3 2 3 2 2" xfId="291" xr:uid="{09E72AB9-4A2F-45EA-951D-CFAD83443398}"/>
    <cellStyle name="Normal 3 2 3 2 2 2" xfId="535" xr:uid="{3E3157A3-6756-4ECF-BA33-918EC400DF7D}"/>
    <cellStyle name="Normal 3 2 3 2 3" xfId="416" xr:uid="{5B53D48F-5E06-45CE-ABDB-B6D11B0DFCB3}"/>
    <cellStyle name="Normal 3 2 3 3" xfId="231" xr:uid="{724371CF-55B9-4C4E-BE4D-60BDD13AFE31}"/>
    <cellStyle name="Normal 3 2 3 3 2" xfId="476" xr:uid="{37C8E1B5-8BDE-4C47-9214-B935A70332C0}"/>
    <cellStyle name="Normal 3 2 3 4" xfId="357" xr:uid="{76C264ED-A68C-4EFF-989E-216A96077B71}"/>
    <cellStyle name="Normal 3 2 4" xfId="128" xr:uid="{59EA03E9-6534-4766-806D-A2D275E387EE}"/>
    <cellStyle name="Normal 3 2 4 2" xfId="191" xr:uid="{E39A27AE-5E42-4B7D-B8AF-5F5C099C4AF9}"/>
    <cellStyle name="Normal 3 2 4 2 2" xfId="315" xr:uid="{1A11DD44-4C31-45C8-98D2-64B7DDD19767}"/>
    <cellStyle name="Normal 3 2 4 2 2 2" xfId="559" xr:uid="{E22EAD72-7BBB-4305-B628-54EF68B01C08}"/>
    <cellStyle name="Normal 3 2 4 2 3" xfId="440" xr:uid="{F40D4E61-D452-4A43-BADE-7B9BEA20F0AA}"/>
    <cellStyle name="Normal 3 2 4 3" xfId="255" xr:uid="{0DAE6D6E-079D-4676-84CC-EC3E1586BE44}"/>
    <cellStyle name="Normal 3 2 4 3 2" xfId="500" xr:uid="{C8DB3A14-3C60-4D22-BDEB-B71157142DA7}"/>
    <cellStyle name="Normal 3 2 4 4" xfId="381" xr:uid="{96CC0471-435B-470C-BB17-0AFADBC217FF}"/>
    <cellStyle name="Normal 3 2 5" xfId="142" xr:uid="{0AF3F575-9C42-4913-8ACF-D9B30FDE85CD}"/>
    <cellStyle name="Normal 3 2 5 2" xfId="267" xr:uid="{681E259C-9C98-42F1-A7AB-74F7DE97488E}"/>
    <cellStyle name="Normal 3 2 5 2 2" xfId="511" xr:uid="{3986093E-24D4-4BE1-B185-BB1681D58092}"/>
    <cellStyle name="Normal 3 2 5 3" xfId="392" xr:uid="{5CF302EA-A0DD-41FA-B122-5E43595A2376}"/>
    <cellStyle name="Normal 3 2 6" xfId="207" xr:uid="{287A288D-77D4-44F7-8592-8EA2195374A4}"/>
    <cellStyle name="Normal 3 2 6 2" xfId="452" xr:uid="{1D5F9E1A-B1C9-4B16-8403-99BEBEE27A60}"/>
    <cellStyle name="Normal 3 2 7" xfId="333" xr:uid="{D495D7B4-B251-4E80-A2F0-F7ED8E54186A}"/>
    <cellStyle name="Normal 3 3" xfId="81" xr:uid="{1D213480-D4DB-4AF8-AD04-C02F13080010}"/>
    <cellStyle name="Normal 3 3 2" xfId="110" xr:uid="{783DCAED-BBC4-42DF-A563-67DA765CF4D2}"/>
    <cellStyle name="Normal 3 3 2 2" xfId="174" xr:uid="{9795150E-4F88-49AF-8D34-B5DBF722FC19}"/>
    <cellStyle name="Normal 3 3 2 2 2" xfId="298" xr:uid="{F68C99D6-9FC8-4095-BEF8-80482B94FCB8}"/>
    <cellStyle name="Normal 3 3 2 2 2 2" xfId="542" xr:uid="{716B93C3-386F-4DAA-A5DB-4F96ECFCD7BE}"/>
    <cellStyle name="Normal 3 3 2 2 3" xfId="423" xr:uid="{0B2127BF-D93A-4666-BCC9-32085916B55A}"/>
    <cellStyle name="Normal 3 3 2 3" xfId="238" xr:uid="{D52E0705-03B7-4DF7-A7ED-6BAC8B34ACB3}"/>
    <cellStyle name="Normal 3 3 2 3 2" xfId="483" xr:uid="{1EEAD0DE-0D4C-47D7-ABF1-26F45E8E3028}"/>
    <cellStyle name="Normal 3 3 2 4" xfId="364" xr:uid="{B801EF8F-1C6A-4331-9CAA-3FE49407836D}"/>
    <cellStyle name="Normal 3 3 3" xfId="149" xr:uid="{9F38DB51-075A-4EAD-A430-F68E3BDC0657}"/>
    <cellStyle name="Normal 3 3 3 2" xfId="274" xr:uid="{294F1810-8E0D-46EC-99E3-E819A83316DC}"/>
    <cellStyle name="Normal 3 3 3 2 2" xfId="518" xr:uid="{EEA151CF-F2C0-4C3D-8FCE-056473BD7C2F}"/>
    <cellStyle name="Normal 3 3 3 3" xfId="399" xr:uid="{3468C0F6-086D-4F63-8991-EC5A91B005D5}"/>
    <cellStyle name="Normal 3 3 4" xfId="214" xr:uid="{35BC829C-A390-4B3D-BF18-723220B955D6}"/>
    <cellStyle name="Normal 3 3 4 2" xfId="459" xr:uid="{497E4BA0-B529-4FAC-929C-7738F87E08FC}"/>
    <cellStyle name="Normal 3 3 5" xfId="340" xr:uid="{44FC8D16-BAF5-4CC9-B353-C536E93DC479}"/>
    <cellStyle name="Normal 3 4" xfId="97" xr:uid="{C33E13F3-9F54-4B08-AC49-B090D9AB56F3}"/>
    <cellStyle name="Normal 3 4 2" xfId="162" xr:uid="{80EE16AA-8311-42AF-8308-FAB68457CD7B}"/>
    <cellStyle name="Normal 3 4 2 2" xfId="286" xr:uid="{48B88B0B-681A-4AF8-9F40-97BD1639556F}"/>
    <cellStyle name="Normal 3 4 2 2 2" xfId="530" xr:uid="{5B8A2A14-53C8-473A-886E-CB3B0FE4FB30}"/>
    <cellStyle name="Normal 3 4 2 3" xfId="411" xr:uid="{F16451FC-2411-453D-8470-C8153038FE57}"/>
    <cellStyle name="Normal 3 4 3" xfId="226" xr:uid="{F917ABB8-0CCB-4DFD-9195-F75C56E805D1}"/>
    <cellStyle name="Normal 3 4 3 2" xfId="471" xr:uid="{038051D3-B2E6-4EAF-8819-71978C88280E}"/>
    <cellStyle name="Normal 3 4 4" xfId="352" xr:uid="{EC11743A-4850-418B-BBCB-174224A7122A}"/>
    <cellStyle name="Normal 3 5" xfId="123" xr:uid="{99DED365-C437-4AB2-B327-DB442FA182F4}"/>
    <cellStyle name="Normal 3 5 2" xfId="186" xr:uid="{BC8F77A3-2EF4-4C70-992D-07C8B2171F7A}"/>
    <cellStyle name="Normal 3 5 2 2" xfId="310" xr:uid="{93A48926-8C8E-4290-8660-A82EAE57073E}"/>
    <cellStyle name="Normal 3 5 2 2 2" xfId="554" xr:uid="{BE99FA10-2CCC-4666-AB09-7E188A7B4E3C}"/>
    <cellStyle name="Normal 3 5 2 3" xfId="435" xr:uid="{AF1652D4-524B-42AC-B736-3CC0BA175F91}"/>
    <cellStyle name="Normal 3 5 3" xfId="250" xr:uid="{A6DF6611-F817-4451-B8ED-D86DD06B5712}"/>
    <cellStyle name="Normal 3 5 3 2" xfId="495" xr:uid="{E119A73A-B3E5-444B-A3AB-D820D400670E}"/>
    <cellStyle name="Normal 3 5 4" xfId="376" xr:uid="{259FA028-A73F-42F8-AB78-0BFBC3CEE758}"/>
    <cellStyle name="Normal 3 6" xfId="136" xr:uid="{7CCA4A15-CB22-4720-BD8A-7A6CB4E97D1D}"/>
    <cellStyle name="Normal 3 6 2" xfId="262" xr:uid="{F32FC30F-7518-43C7-917C-320A7BA1F68A}"/>
    <cellStyle name="Normal 3 6 2 2" xfId="506" xr:uid="{A96E01BD-5D6F-4312-861B-3E112F56E763}"/>
    <cellStyle name="Normal 3 6 3" xfId="387" xr:uid="{3D4D2D66-D0D3-4AEA-94BB-1DC17C254471}"/>
    <cellStyle name="Normal 3 7" xfId="200" xr:uid="{46A897D1-A19B-4CB3-8673-11E9B1AEDDE0}"/>
    <cellStyle name="Normal 3 7 2" xfId="447" xr:uid="{00A692B4-C3D4-41C5-B08B-7A8706EC8115}"/>
    <cellStyle name="Normal 3 8" xfId="327" xr:uid="{C702D087-DC89-469F-9F57-D69912C90ADB}"/>
    <cellStyle name="Normal 30" xfId="569" xr:uid="{B10F1B1B-EEA7-4DE6-AB6B-6E29FC3A9CE5}"/>
    <cellStyle name="Normal 31" xfId="570" xr:uid="{9B26B1A6-6BC6-48AD-9F2A-85B5FC2F98D1}"/>
    <cellStyle name="Normal 32" xfId="572" xr:uid="{53BCC5DC-E625-497D-9F20-D2374F2D53C9}"/>
    <cellStyle name="Normal 33" xfId="2" xr:uid="{FE946A54-31BD-497A-82A7-E2C75C5BA50D}"/>
    <cellStyle name="Normal 34" xfId="575" xr:uid="{6ED075DD-A65B-4670-9C32-051CFD28F688}"/>
    <cellStyle name="Normal 4" xfId="27" xr:uid="{633A09B2-A7E6-415A-BF51-D41D43874FE6}"/>
    <cellStyle name="Normal 5" xfId="28" xr:uid="{2FADABD9-656E-4E5E-9BAB-1B1A0641CBE7}"/>
    <cellStyle name="Normal 5 2" xfId="29" xr:uid="{7F54AE7A-F674-43B4-B793-139E2F02CF37}"/>
    <cellStyle name="Normal 5 3" xfId="30" xr:uid="{4C73A923-ABB2-4A3B-B9D9-4BC5ADD34719}"/>
    <cellStyle name="Normal 5 4" xfId="31" xr:uid="{8D32AED0-2ADC-4913-9145-0B616268C8CF}"/>
    <cellStyle name="Normal 5 5" xfId="32" xr:uid="{20DE8C40-C335-4E6B-9733-21C86B45DC2A}"/>
    <cellStyle name="Normal 6" xfId="33" xr:uid="{17B29115-40EC-4D76-83BE-07115A997923}"/>
    <cellStyle name="Normal 6 2" xfId="34" xr:uid="{1BDE706C-5EA6-49B1-9713-7DA0F7FFCE80}"/>
    <cellStyle name="Normal 6 3" xfId="35" xr:uid="{ED17CF77-36E7-4333-9555-160523E496F8}"/>
    <cellStyle name="Normal 6 4" xfId="36" xr:uid="{383C8ECD-E3B4-4664-A5B6-2199E4A91B1E}"/>
    <cellStyle name="Normal 6 5" xfId="37" xr:uid="{13E055D5-20C5-4B55-96BD-8C9749B06C7C}"/>
    <cellStyle name="Normal 7" xfId="76" xr:uid="{5A6363DE-A959-4F08-9067-F5527B629924}"/>
    <cellStyle name="Normal 7 10" xfId="338" xr:uid="{F0E0B64A-B133-4B32-B4B9-F2CA161782B3}"/>
    <cellStyle name="Normal 7 2" xfId="38" xr:uid="{E37CD624-6E3E-4F03-B064-5108BEF3AC48}"/>
    <cellStyle name="Normal 7 3" xfId="39" xr:uid="{75A253D1-E7F0-42A3-AAF8-55F6A3D419DE}"/>
    <cellStyle name="Normal 7 4" xfId="40" xr:uid="{62F7C98B-A196-4C83-B835-C36F34E5C49D}"/>
    <cellStyle name="Normal 7 5" xfId="92" xr:uid="{5EC61771-967F-4E05-AB2B-B75A0278E6BF}"/>
    <cellStyle name="Normal 7 5 2" xfId="120" xr:uid="{02904D78-4D54-4089-88A6-556A44DA44D0}"/>
    <cellStyle name="Normal 7 5 2 2" xfId="184" xr:uid="{DBAB81B2-03C5-4D19-A7D9-6B5DE45BCED2}"/>
    <cellStyle name="Normal 7 5 2 2 2" xfId="308" xr:uid="{DFBB7CFE-6743-4C08-A1F5-C95D122668D2}"/>
    <cellStyle name="Normal 7 5 2 2 2 2" xfId="552" xr:uid="{36E16544-75AB-4784-89B6-1EEC4E604B88}"/>
    <cellStyle name="Normal 7 5 2 2 3" xfId="433" xr:uid="{958B012B-7DC7-478A-9BBB-C031424309B2}"/>
    <cellStyle name="Normal 7 5 2 3" xfId="248" xr:uid="{65CAC380-6C14-4FC6-A224-96FADC4C1AA2}"/>
    <cellStyle name="Normal 7 5 2 3 2" xfId="493" xr:uid="{E29B5DC6-C703-4ED9-8FA7-824F1EFF4144}"/>
    <cellStyle name="Normal 7 5 2 4" xfId="374" xr:uid="{765B2C83-FD27-4C5F-912F-94EEF7D04B41}"/>
    <cellStyle name="Normal 7 5 3" xfId="159" xr:uid="{EBDC4052-78F3-4098-AD39-91C5FE497E9B}"/>
    <cellStyle name="Normal 7 5 3 2" xfId="284" xr:uid="{9879FCC4-D657-40E1-9C47-4976F31D504B}"/>
    <cellStyle name="Normal 7 5 3 2 2" xfId="528" xr:uid="{A26D681A-84FF-4CC1-A27C-122ABADAB81F}"/>
    <cellStyle name="Normal 7 5 3 3" xfId="409" xr:uid="{2819C3E3-58EA-40BA-BDF1-3BAA383B922E}"/>
    <cellStyle name="Normal 7 5 4" xfId="224" xr:uid="{8E352208-4C84-4ABB-805A-D386BBEEDA8C}"/>
    <cellStyle name="Normal 7 5 4 2" xfId="469" xr:uid="{22FED9A9-5023-4ED7-9B5A-7AA421848591}"/>
    <cellStyle name="Normal 7 5 5" xfId="350" xr:uid="{943BB53F-5088-4832-A886-E08144E46D6F}"/>
    <cellStyle name="Normal 7 6" xfId="108" xr:uid="{B56B6E0C-CA22-420C-80C1-3F76C3357BE0}"/>
    <cellStyle name="Normal 7 6 2" xfId="172" xr:uid="{61A559BD-860B-428F-86C5-4DE8EB2226D0}"/>
    <cellStyle name="Normal 7 6 2 2" xfId="296" xr:uid="{58AF3888-7B0D-456C-ADC3-053C77B00B23}"/>
    <cellStyle name="Normal 7 6 2 2 2" xfId="540" xr:uid="{91DC54E2-88AF-4349-952A-14DF622F05AC}"/>
    <cellStyle name="Normal 7 6 2 3" xfId="421" xr:uid="{5CD842D4-5C64-48F6-B05A-33700B52D12F}"/>
    <cellStyle name="Normal 7 6 3" xfId="236" xr:uid="{7D08DABA-6CE8-4039-8B9D-0880FB7316EC}"/>
    <cellStyle name="Normal 7 6 3 2" xfId="481" xr:uid="{7A98C59E-9355-4767-9BAA-B3A499344D52}"/>
    <cellStyle name="Normal 7 6 4" xfId="362" xr:uid="{4CFE750A-B91F-45C1-A461-C16AE2F63968}"/>
    <cellStyle name="Normal 7 7" xfId="122" xr:uid="{69B25DD3-8C37-4FA3-A5A8-F301533D15DF}"/>
    <cellStyle name="Normal 7 8" xfId="147" xr:uid="{A3146363-DFA1-48D4-A715-E6CCAECE95C7}"/>
    <cellStyle name="Normal 7 8 2" xfId="272" xr:uid="{B70F939D-B095-4FEB-A3A8-188528782E10}"/>
    <cellStyle name="Normal 7 8 2 2" xfId="516" xr:uid="{ACC057E0-2453-4C74-AF40-EE659AD8FDC5}"/>
    <cellStyle name="Normal 7 8 3" xfId="397" xr:uid="{F1198232-542F-4F11-A723-2EC8E2B21405}"/>
    <cellStyle name="Normal 7 9" xfId="212" xr:uid="{DB034564-98F7-4EC1-B486-EA4C7AEB75BD}"/>
    <cellStyle name="Normal 7 9 2" xfId="457" xr:uid="{EA060B1A-72C2-4C95-869A-37934BCE31BE}"/>
    <cellStyle name="Normal 8" xfId="41" xr:uid="{BA6D0EDF-4516-4957-A46D-3640DFB3EFD8}"/>
    <cellStyle name="Normal 8 2" xfId="42" xr:uid="{14CC56F8-E32C-4B15-9109-434AE26B2A80}"/>
    <cellStyle name="Normal 9" xfId="43" xr:uid="{5F4E9757-F3D4-416F-99ED-0ED85D326B82}"/>
    <cellStyle name="Normal 9 2" xfId="44" xr:uid="{C5121B29-45EA-4DD4-A06E-317F6DA20F10}"/>
    <cellStyle name="Normal 9 3" xfId="69" xr:uid="{FF5A63EB-86AF-465B-B08D-933C340A9EFC}"/>
    <cellStyle name="Paprastas 2" xfId="1" xr:uid="{8D8031AB-733F-47BE-8266-D303570A4773}"/>
    <cellStyle name="Paprastas 2 2" xfId="45" xr:uid="{8CEBEF6F-FE9B-4FF9-876F-EDCE0B2F6D33}"/>
    <cellStyle name="Paprastas 2 2 2" xfId="46" xr:uid="{93B7CB14-A9F6-46D5-A764-6813D13DD6F0}"/>
    <cellStyle name="Paprastas 2 2 3" xfId="47" xr:uid="{46A55238-1B68-4DF6-96D5-57F254016F8D}"/>
    <cellStyle name="Paprastas 2 2 4" xfId="48" xr:uid="{42B485D3-6E71-4471-9C72-CE8E6CC8C6C2}"/>
    <cellStyle name="Paprastas 2 2 5" xfId="49" xr:uid="{4179C2D0-8007-48C5-8508-6674033CC54E}"/>
    <cellStyle name="Paprastas 2 2 6" xfId="50" xr:uid="{A16C7BF2-32FC-4780-BA09-D1857BB40901}"/>
    <cellStyle name="Paprastas 2 2 7" xfId="51" xr:uid="{719AC0E1-FF01-4A94-A1F0-D66934B68C72}"/>
    <cellStyle name="Paprastas 2 2 8" xfId="52" xr:uid="{5D5DF418-A49D-44A6-95EC-BCDF6AC3AC6F}"/>
    <cellStyle name="Paprastas 2 2 9" xfId="71" xr:uid="{08625E26-2679-4325-A19D-B32543D8F8FD}"/>
    <cellStyle name="Paprastas 2 3" xfId="70" xr:uid="{7AD826CD-4CD4-4D22-BA1E-9F6FDF82A062}"/>
    <cellStyle name="Paprastas 2 3 2" xfId="88" xr:uid="{616508B1-B7A2-4ACD-BB24-0E0BD853788A}"/>
    <cellStyle name="Paprastas 2 3 2 2" xfId="116" xr:uid="{E5D6AA97-CDE9-4A47-8D9D-DD7A9F3B32C1}"/>
    <cellStyle name="Paprastas 2 3 2 2 2" xfId="180" xr:uid="{45F24F38-8011-4FC5-BF25-AFD39E2BAE38}"/>
    <cellStyle name="Paprastas 2 3 2 2 2 2" xfId="304" xr:uid="{F2D82904-DDE6-4291-A6C2-CDF7DFA9755C}"/>
    <cellStyle name="Paprastas 2 3 2 2 2 2 2" xfId="548" xr:uid="{5299EB10-FBE4-4325-8FB1-6DD1B56ABF37}"/>
    <cellStyle name="Paprastas 2 3 2 2 2 3" xfId="429" xr:uid="{A03BEF47-609C-4852-9196-5CD82493FD97}"/>
    <cellStyle name="Paprastas 2 3 2 2 3" xfId="244" xr:uid="{139861C6-537C-4077-87F7-E50A0E5F0B16}"/>
    <cellStyle name="Paprastas 2 3 2 2 3 2" xfId="489" xr:uid="{B7EE00D0-EF9E-4138-BBBB-B5766DCAABB6}"/>
    <cellStyle name="Paprastas 2 3 2 2 4" xfId="370" xr:uid="{A447273F-7271-4A89-933F-A9B40A56FD90}"/>
    <cellStyle name="Paprastas 2 3 2 3" xfId="155" xr:uid="{1B9B6697-E200-496D-AEAB-A83A26DB845A}"/>
    <cellStyle name="Paprastas 2 3 2 3 2" xfId="280" xr:uid="{12B49045-B5F6-45B1-AF04-A7902AB03928}"/>
    <cellStyle name="Paprastas 2 3 2 3 2 2" xfId="524" xr:uid="{CA2CBDB9-9796-4370-B8FE-96D9E9C563BD}"/>
    <cellStyle name="Paprastas 2 3 2 3 3" xfId="405" xr:uid="{504AD493-ADC9-46D7-83F3-CE682B6D3E50}"/>
    <cellStyle name="Paprastas 2 3 2 4" xfId="220" xr:uid="{95DF274A-DB29-4522-8184-CAC410EA3FB1}"/>
    <cellStyle name="Paprastas 2 3 2 4 2" xfId="465" xr:uid="{A7754489-53D9-4641-9648-30EA11F11EC6}"/>
    <cellStyle name="Paprastas 2 3 2 5" xfId="346" xr:uid="{F1354360-1B06-447E-8919-88A59A497038}"/>
    <cellStyle name="Paprastas 2 3 3" xfId="104" xr:uid="{DE29FAE5-1A2D-4921-9237-CF0DBAEB1F40}"/>
    <cellStyle name="Paprastas 2 3 3 2" xfId="168" xr:uid="{BFFF5E01-B8A8-4144-BE39-55157E81C879}"/>
    <cellStyle name="Paprastas 2 3 3 2 2" xfId="292" xr:uid="{6AD551EE-400F-4833-AEE4-D4CC11D8DBA8}"/>
    <cellStyle name="Paprastas 2 3 3 2 2 2" xfId="536" xr:uid="{F6D77FBC-94F0-4CC9-B7CD-7C03D40C141E}"/>
    <cellStyle name="Paprastas 2 3 3 2 3" xfId="417" xr:uid="{C84AA9DF-EBE8-49E9-9510-2AACF6EFB49A}"/>
    <cellStyle name="Paprastas 2 3 3 3" xfId="232" xr:uid="{F5C7A79F-E6CF-4112-8FB3-C628111D15FB}"/>
    <cellStyle name="Paprastas 2 3 3 3 2" xfId="477" xr:uid="{FDBFA38D-7C2C-4B36-A65F-BEEE7C96A829}"/>
    <cellStyle name="Paprastas 2 3 3 4" xfId="358" xr:uid="{AF43618C-71EA-4336-A75D-367E55B25492}"/>
    <cellStyle name="Paprastas 2 3 4" xfId="129" xr:uid="{B253EA27-4263-461A-9119-67D8B522171B}"/>
    <cellStyle name="Paprastas 2 3 4 2" xfId="192" xr:uid="{BB5EB5B2-AD01-49D1-810B-DD8CF59B166E}"/>
    <cellStyle name="Paprastas 2 3 4 2 2" xfId="316" xr:uid="{E68CED5D-95EF-4B21-9B0C-404EBFD637D7}"/>
    <cellStyle name="Paprastas 2 3 4 2 2 2" xfId="560" xr:uid="{707B3C4A-B805-479F-BCEB-5523141765FA}"/>
    <cellStyle name="Paprastas 2 3 4 2 3" xfId="441" xr:uid="{1649B3D0-DC4E-40C0-883A-FEEE46C6152E}"/>
    <cellStyle name="Paprastas 2 3 4 3" xfId="256" xr:uid="{B03758E9-E61C-4C54-B80C-6F064D362D6C}"/>
    <cellStyle name="Paprastas 2 3 4 3 2" xfId="501" xr:uid="{B57506D6-A097-4A87-B3B4-606578118135}"/>
    <cellStyle name="Paprastas 2 3 4 4" xfId="382" xr:uid="{A34EDE19-444E-462F-80EE-50C5EA26FCFE}"/>
    <cellStyle name="Paprastas 2 3 5" xfId="143" xr:uid="{1F9940F2-E0C4-4CF2-A824-DFFA5752882A}"/>
    <cellStyle name="Paprastas 2 3 5 2" xfId="268" xr:uid="{89ECDDA9-8D89-459F-BA62-FEE0101BC0EC}"/>
    <cellStyle name="Paprastas 2 3 5 2 2" xfId="512" xr:uid="{6E191326-D342-4E04-A2F2-C5391A61B3B5}"/>
    <cellStyle name="Paprastas 2 3 5 3" xfId="393" xr:uid="{3D4B12D6-C658-450D-ACA2-C6F3146CDCA9}"/>
    <cellStyle name="Paprastas 2 3 6" xfId="208" xr:uid="{C341F87C-4F88-4516-951C-2BD098553F61}"/>
    <cellStyle name="Paprastas 2 3 6 2" xfId="453" xr:uid="{8005AE64-4CFF-4D1D-8804-D411E0422ABD}"/>
    <cellStyle name="Paprastas 2 3 7" xfId="334" xr:uid="{5DCFF863-D011-4369-99FD-DA6EFB27C34D}"/>
    <cellStyle name="Paprastas 2 4" xfId="82" xr:uid="{7362E292-25EB-4CFF-ACD7-D59B1E041465}"/>
    <cellStyle name="Paprastas 2 4 2" xfId="111" xr:uid="{EA32F3D5-4371-4B76-B99C-D9968B0EE39A}"/>
    <cellStyle name="Paprastas 2 4 2 2" xfId="175" xr:uid="{34ECD6C4-C9BB-4DC3-ABE0-EE461A0F1FE5}"/>
    <cellStyle name="Paprastas 2 4 2 2 2" xfId="299" xr:uid="{E3F9ED35-3780-4382-AE21-DC06338A7EC3}"/>
    <cellStyle name="Paprastas 2 4 2 2 2 2" xfId="543" xr:uid="{2F484D83-1EC9-47BA-9B40-4A254DD8BC3B}"/>
    <cellStyle name="Paprastas 2 4 2 2 3" xfId="424" xr:uid="{379331D7-B951-4EBE-8C5D-AFF625CE93C9}"/>
    <cellStyle name="Paprastas 2 4 2 3" xfId="239" xr:uid="{65DA97CD-E2F3-45A4-B72E-965AE51CF184}"/>
    <cellStyle name="Paprastas 2 4 2 3 2" xfId="484" xr:uid="{E14F1E1F-0B15-4DB5-AC2E-B1F485D1E421}"/>
    <cellStyle name="Paprastas 2 4 2 4" xfId="365" xr:uid="{B218CED7-94EE-448D-AABD-A4C705FDE9C4}"/>
    <cellStyle name="Paprastas 2 4 3" xfId="150" xr:uid="{A8DA24F7-0ACB-4CDF-A22C-DDBC5AE035E7}"/>
    <cellStyle name="Paprastas 2 4 3 2" xfId="275" xr:uid="{69B9D640-1444-4221-848B-B0816CCC7B06}"/>
    <cellStyle name="Paprastas 2 4 3 2 2" xfId="519" xr:uid="{8E1490CB-BB34-4562-BFBF-7B51D6F5518A}"/>
    <cellStyle name="Paprastas 2 4 3 3" xfId="400" xr:uid="{DD69F1AE-DBF2-428A-A578-58601C77B615}"/>
    <cellStyle name="Paprastas 2 4 4" xfId="215" xr:uid="{7039AA4A-CDFB-4D35-B395-6E6F38E17EFC}"/>
    <cellStyle name="Paprastas 2 4 4 2" xfId="460" xr:uid="{5CC90C08-A0D5-4088-876E-21C845D03E8E}"/>
    <cellStyle name="Paprastas 2 4 5" xfId="341" xr:uid="{A6B2C0A0-9200-4F64-8ED0-6F0698C04F66}"/>
    <cellStyle name="Paprastas 2 5" xfId="98" xr:uid="{29923974-8F2D-4DD8-8D27-AE43B3D4F92F}"/>
    <cellStyle name="Paprastas 2 5 2" xfId="163" xr:uid="{421B0326-6780-4195-ADB9-F65392975A7C}"/>
    <cellStyle name="Paprastas 2 5 2 2" xfId="287" xr:uid="{0536FF32-7926-448F-9CEB-427D3E0C5E92}"/>
    <cellStyle name="Paprastas 2 5 2 2 2" xfId="531" xr:uid="{03A4260B-30C7-4E34-AF70-828D6F4399AD}"/>
    <cellStyle name="Paprastas 2 5 2 3" xfId="412" xr:uid="{31DA77FB-42DD-4C1B-91E6-480FFADD5399}"/>
    <cellStyle name="Paprastas 2 5 3" xfId="227" xr:uid="{77E10164-A7F8-40C5-9A70-2E6433A30D60}"/>
    <cellStyle name="Paprastas 2 5 3 2" xfId="472" xr:uid="{0F85879F-1C81-41BA-9B1A-281C6CE28EF9}"/>
    <cellStyle name="Paprastas 2 5 4" xfId="353" xr:uid="{47CEB5F7-0E68-4F1F-838C-D677F6C9C585}"/>
    <cellStyle name="Paprastas 2 6" xfId="124" xr:uid="{E8C7FBE7-5452-431A-BD13-A7F0CDD5B61F}"/>
    <cellStyle name="Paprastas 2 6 2" xfId="187" xr:uid="{97C10390-1216-4CE1-90F3-E099DEA5EE53}"/>
    <cellStyle name="Paprastas 2 6 2 2" xfId="311" xr:uid="{28535CD8-A2F5-4868-B79D-BDB2C80DDB8B}"/>
    <cellStyle name="Paprastas 2 6 2 2 2" xfId="555" xr:uid="{EDF3CC1E-4C8C-4125-B82F-9FACEE2AAA7C}"/>
    <cellStyle name="Paprastas 2 6 2 3" xfId="436" xr:uid="{EE254E20-9003-4EC1-BF4C-92A531B25FBF}"/>
    <cellStyle name="Paprastas 2 6 3" xfId="251" xr:uid="{A1624ACC-7E6B-4BC3-9420-CD695821BB9D}"/>
    <cellStyle name="Paprastas 2 6 3 2" xfId="496" xr:uid="{D904D903-8D58-4209-8010-93538483DF4C}"/>
    <cellStyle name="Paprastas 2 6 4" xfId="377" xr:uid="{D1A9491C-9C3E-4F31-86E6-BA18D3C941E3}"/>
    <cellStyle name="Paprastas 2 7" xfId="137" xr:uid="{4459E4D1-EDF3-42CE-9716-4A7E01638A9C}"/>
    <cellStyle name="Paprastas 2 7 2" xfId="263" xr:uid="{7743787C-13FE-424A-BED5-8DEF64C69B7B}"/>
    <cellStyle name="Paprastas 2 7 2 2" xfId="507" xr:uid="{9D87CF9A-B063-44C4-BD2C-90A72EA70DFD}"/>
    <cellStyle name="Paprastas 2 7 3" xfId="388" xr:uid="{DDCE188C-645C-4801-B357-2FEA5C7BC6B1}"/>
    <cellStyle name="Paprastas 2 8" xfId="201" xr:uid="{EA112866-6600-44EA-954F-4E1914FFED99}"/>
    <cellStyle name="Paprastas 2 8 2" xfId="448" xr:uid="{4B3AD82B-600A-4546-A56F-D314C2D3E639}"/>
    <cellStyle name="Paprastas 2 9" xfId="328" xr:uid="{7B2914FC-D8D7-4999-A9F3-48CBF5CDEFCF}"/>
    <cellStyle name="Paprastas 2_enteric" xfId="53" xr:uid="{DF75781C-644B-41A5-8FC8-95A4201DA970}"/>
    <cellStyle name="Percent 2" xfId="55" xr:uid="{97C13AC8-9987-464F-A1D7-D7FF80EF5625}"/>
    <cellStyle name="Percent 2 2" xfId="56" xr:uid="{9E75385F-4FE6-4481-9083-D5D05AB8A163}"/>
    <cellStyle name="Percent 3" xfId="57" xr:uid="{1071804C-E9F3-4E1C-A126-6947B63BC8E1}"/>
    <cellStyle name="Percent 4" xfId="83" xr:uid="{DA337991-66F9-4C06-A864-79A9AFB3D8EA}"/>
    <cellStyle name="Percent 5" xfId="99" xr:uid="{D025356D-034B-4F7E-A790-ED4DB45FA7EE}"/>
    <cellStyle name="Percent 6" xfId="138" xr:uid="{FD1D3925-8285-4789-A7DC-A940D6B6AE08}"/>
    <cellStyle name="Percent 7" xfId="202" xr:uid="{6809C75A-31DD-4E71-81C5-8B6E5408A401}"/>
    <cellStyle name="Percent 8" xfId="329" xr:uid="{2A6D57D9-8B77-45C7-9821-F4AF5715821D}"/>
    <cellStyle name="Percent 9" xfId="54" xr:uid="{C546C842-5ACC-41A5-B1F2-70F6CDD73D55}"/>
    <cellStyle name="Procentai 2" xfId="59" xr:uid="{B4CCE5E1-ED20-42F1-941E-4B6AA941B6FC}"/>
    <cellStyle name="Procentai 2 2" xfId="73" xr:uid="{9ECDEFB3-B979-484B-811F-D1F1904D7050}"/>
    <cellStyle name="Procentai 2 2 2" xfId="90" xr:uid="{17A5EBAB-C237-4A67-98E5-269C45ACBAD5}"/>
    <cellStyle name="Procentai 2 2 2 2" xfId="118" xr:uid="{52615D75-9CA9-4C35-9B5C-E36C167913C0}"/>
    <cellStyle name="Procentai 2 2 2 2 2" xfId="182" xr:uid="{34B56476-7DE4-467C-A7CA-B1D6F0D69E4C}"/>
    <cellStyle name="Procentai 2 2 2 2 2 2" xfId="306" xr:uid="{DCCCFC23-5229-4E42-B1A2-5D9799A928BB}"/>
    <cellStyle name="Procentai 2 2 2 2 2 2 2" xfId="550" xr:uid="{D1238454-3EE0-4625-BB32-7F660123CAF7}"/>
    <cellStyle name="Procentai 2 2 2 2 2 3" xfId="431" xr:uid="{FB862A9A-25D8-40BE-8358-FB9DD33E0C6A}"/>
    <cellStyle name="Procentai 2 2 2 2 3" xfId="246" xr:uid="{64EF01F1-12AE-41ED-8270-CB076CE8CB87}"/>
    <cellStyle name="Procentai 2 2 2 2 3 2" xfId="491" xr:uid="{1EFB1540-B9F7-4E23-A989-D716CA78D364}"/>
    <cellStyle name="Procentai 2 2 2 2 4" xfId="372" xr:uid="{04F36BAA-A243-4DBD-B0A4-41E75AA35B37}"/>
    <cellStyle name="Procentai 2 2 2 3" xfId="157" xr:uid="{7B46B010-DFEF-48EB-96A8-8E37DE85A261}"/>
    <cellStyle name="Procentai 2 2 2 3 2" xfId="282" xr:uid="{241E6597-2EC3-4420-AE0C-54E2437EA070}"/>
    <cellStyle name="Procentai 2 2 2 3 2 2" xfId="526" xr:uid="{EAB28506-20E1-4CB5-8F72-61D24444E52A}"/>
    <cellStyle name="Procentai 2 2 2 3 3" xfId="407" xr:uid="{187B4ED3-FA22-4EE3-BE8F-97EB8142FFE8}"/>
    <cellStyle name="Procentai 2 2 2 4" xfId="222" xr:uid="{D47BBC9B-4BFD-4E85-87BF-7D03F4213174}"/>
    <cellStyle name="Procentai 2 2 2 4 2" xfId="467" xr:uid="{904143E2-A2B0-499C-9B8E-5F7E4BAC35FC}"/>
    <cellStyle name="Procentai 2 2 2 5" xfId="348" xr:uid="{1D091171-3763-426B-9735-AE7121F946F8}"/>
    <cellStyle name="Procentai 2 2 3" xfId="106" xr:uid="{C8511CEB-A987-44B6-92C5-E13FDB4A3B31}"/>
    <cellStyle name="Procentai 2 2 3 2" xfId="170" xr:uid="{FD0C8288-09D5-4F07-B5B2-FDFD9EB360F3}"/>
    <cellStyle name="Procentai 2 2 3 2 2" xfId="294" xr:uid="{E7D0C970-D7C2-44DB-BA18-06EABF0C9AF7}"/>
    <cellStyle name="Procentai 2 2 3 2 2 2" xfId="538" xr:uid="{E424418E-F2B1-44A2-9946-F48A9F7E33DA}"/>
    <cellStyle name="Procentai 2 2 3 2 3" xfId="419" xr:uid="{ACC443B4-255E-4201-BF91-40E03DBB9C82}"/>
    <cellStyle name="Procentai 2 2 3 3" xfId="234" xr:uid="{F0AE4E09-7CEF-4863-BF26-3D8EE8DE6DB6}"/>
    <cellStyle name="Procentai 2 2 3 3 2" xfId="479" xr:uid="{5EFEAE4E-DAD4-4C42-A20D-C91F21C72B28}"/>
    <cellStyle name="Procentai 2 2 3 4" xfId="360" xr:uid="{22114913-ED7B-4B84-8575-6BC326A07BDC}"/>
    <cellStyle name="Procentai 2 2 4" xfId="131" xr:uid="{C7AC44B9-436B-4373-8A8B-2F87F20875C0}"/>
    <cellStyle name="Procentai 2 2 4 2" xfId="194" xr:uid="{FABAF3D4-BEAB-402C-9A4D-1BB2F8BC01D7}"/>
    <cellStyle name="Procentai 2 2 4 2 2" xfId="318" xr:uid="{019ACB0E-7FB1-4B81-97A9-AC9412A05CD2}"/>
    <cellStyle name="Procentai 2 2 4 2 2 2" xfId="562" xr:uid="{361DEF9B-6B41-4AD2-8430-E3C5B3643BDB}"/>
    <cellStyle name="Procentai 2 2 4 2 3" xfId="443" xr:uid="{7079019D-0645-4B3B-8EC3-4326B1A76DB1}"/>
    <cellStyle name="Procentai 2 2 4 3" xfId="258" xr:uid="{BF6FBD79-7C76-4BBC-B7A9-B3B406EF7072}"/>
    <cellStyle name="Procentai 2 2 4 3 2" xfId="503" xr:uid="{7795E9C0-C14A-40F4-B443-68487FFD01B2}"/>
    <cellStyle name="Procentai 2 2 4 4" xfId="384" xr:uid="{0FDD0E66-3188-4323-9149-D11A70F40A62}"/>
    <cellStyle name="Procentai 2 2 5" xfId="145" xr:uid="{AD517111-0952-4DB3-97E2-54B6C2C9D50F}"/>
    <cellStyle name="Procentai 2 2 5 2" xfId="270" xr:uid="{75AA14CB-5A39-4B19-920D-3C82288AF88A}"/>
    <cellStyle name="Procentai 2 2 5 2 2" xfId="514" xr:uid="{4370956C-AAE1-4611-9A3B-F563986E8C4E}"/>
    <cellStyle name="Procentai 2 2 5 3" xfId="395" xr:uid="{03E7C413-7EE0-4C89-AF00-B55A848C544B}"/>
    <cellStyle name="Procentai 2 2 6" xfId="210" xr:uid="{4507F6D1-2779-4343-A831-55F630AF6137}"/>
    <cellStyle name="Procentai 2 2 6 2" xfId="455" xr:uid="{AF75020F-DA39-4B6B-B58B-BAA5EDE7A4AB}"/>
    <cellStyle name="Procentai 2 2 7" xfId="336" xr:uid="{E0584ED5-F9DF-42AE-9D5F-8E109B9EFA8B}"/>
    <cellStyle name="Procentai 2 3" xfId="85" xr:uid="{A4D1955D-E84D-4238-8B10-55A86F063B25}"/>
    <cellStyle name="Procentai 2 3 2" xfId="113" xr:uid="{4573EF82-3BB4-42DE-921F-97995B1778FC}"/>
    <cellStyle name="Procentai 2 3 2 2" xfId="177" xr:uid="{8BECFFED-54D4-42B6-8642-8EA840C10F39}"/>
    <cellStyle name="Procentai 2 3 2 2 2" xfId="301" xr:uid="{B3D351D8-AB5C-4DEA-8459-5D2C94A6DDC0}"/>
    <cellStyle name="Procentai 2 3 2 2 2 2" xfId="545" xr:uid="{B1969353-1156-41E6-8A7B-0B62CCFA7AA8}"/>
    <cellStyle name="Procentai 2 3 2 2 3" xfId="426" xr:uid="{2CA6E33B-8AD5-463C-A652-85014DADDC88}"/>
    <cellStyle name="Procentai 2 3 2 3" xfId="241" xr:uid="{655A3438-C06C-4556-98A2-5CC459688268}"/>
    <cellStyle name="Procentai 2 3 2 3 2" xfId="486" xr:uid="{DCFB2D80-98AF-4D06-A92C-F59677150B57}"/>
    <cellStyle name="Procentai 2 3 2 4" xfId="367" xr:uid="{59632C7D-9DF5-4173-AF16-C31EFF06C785}"/>
    <cellStyle name="Procentai 2 3 3" xfId="152" xr:uid="{A95E455D-91AC-4114-9976-3021100BDB4C}"/>
    <cellStyle name="Procentai 2 3 3 2" xfId="277" xr:uid="{66FEFF1C-0D3E-4B4A-A761-119DC9587A1A}"/>
    <cellStyle name="Procentai 2 3 3 2 2" xfId="521" xr:uid="{BB315644-9A4F-4B2C-81A4-64C20051D345}"/>
    <cellStyle name="Procentai 2 3 3 3" xfId="402" xr:uid="{8020A20B-33C0-4864-BECA-481AD4515C7C}"/>
    <cellStyle name="Procentai 2 3 4" xfId="217" xr:uid="{4BD17222-1360-477A-A2B2-165FEFA40990}"/>
    <cellStyle name="Procentai 2 3 4 2" xfId="462" xr:uid="{E291E59C-8F43-4CFA-929E-6899584AF2AD}"/>
    <cellStyle name="Procentai 2 3 5" xfId="343" xr:uid="{FC6D426F-367D-4D5D-9608-2263765F1C6C}"/>
    <cellStyle name="Procentai 2 4" xfId="101" xr:uid="{71311623-C2F0-4326-9F29-38696722E862}"/>
    <cellStyle name="Procentai 2 4 2" xfId="165" xr:uid="{BB0364C5-1389-4C00-AE17-4E33B01B1C30}"/>
    <cellStyle name="Procentai 2 4 2 2" xfId="289" xr:uid="{AB574EF3-214D-42D8-A562-80E2CEEAD7D8}"/>
    <cellStyle name="Procentai 2 4 2 2 2" xfId="533" xr:uid="{67BF9332-E3A3-4159-83F1-8EECE6E82E0E}"/>
    <cellStyle name="Procentai 2 4 2 3" xfId="414" xr:uid="{3055E4B5-1322-481F-8F19-ECD9291296D7}"/>
    <cellStyle name="Procentai 2 4 3" xfId="229" xr:uid="{C7033418-DF10-42C2-BF4B-4A2702565926}"/>
    <cellStyle name="Procentai 2 4 3 2" xfId="474" xr:uid="{560F3356-A7D0-403D-B012-6CC174FBEB5F}"/>
    <cellStyle name="Procentai 2 4 4" xfId="355" xr:uid="{7E6637E1-36DA-485F-B35C-E2CA49D915AF}"/>
    <cellStyle name="Procentai 2 5" xfId="126" xr:uid="{C6990A82-B198-49C0-954E-034DEC05F068}"/>
    <cellStyle name="Procentai 2 5 2" xfId="189" xr:uid="{F7F35002-8F6D-4D63-B1DF-F2677033B71C}"/>
    <cellStyle name="Procentai 2 5 2 2" xfId="313" xr:uid="{85CE9D66-A493-4C38-8569-4362F62ED543}"/>
    <cellStyle name="Procentai 2 5 2 2 2" xfId="557" xr:uid="{97D93A30-C88A-46D8-98F7-C78E981287F9}"/>
    <cellStyle name="Procentai 2 5 2 3" xfId="438" xr:uid="{54788BBE-BC51-4269-873F-D47CB730AF0C}"/>
    <cellStyle name="Procentai 2 5 3" xfId="253" xr:uid="{E0385EA9-DD8A-49A3-B04E-B7EC666B9BD3}"/>
    <cellStyle name="Procentai 2 5 3 2" xfId="498" xr:uid="{BD8109C1-E4F0-48C3-A717-B6694898383F}"/>
    <cellStyle name="Procentai 2 5 4" xfId="379" xr:uid="{C2D5B611-982E-411B-82A6-12E1C19EA2EB}"/>
    <cellStyle name="Procentai 2 6" xfId="140" xr:uid="{C30A7482-1E53-45FC-9BC9-C686190503CF}"/>
    <cellStyle name="Procentai 2 6 2" xfId="265" xr:uid="{E62540A5-6B3E-47CE-82C3-147FB441B6E6}"/>
    <cellStyle name="Procentai 2 6 2 2" xfId="509" xr:uid="{079F410B-318B-43E3-BBBE-E33CAF7FFA4B}"/>
    <cellStyle name="Procentai 2 6 3" xfId="390" xr:uid="{45C9B6EE-5F18-4122-AF38-8DE98ECF1C72}"/>
    <cellStyle name="Procentai 2 7" xfId="205" xr:uid="{61B38C12-C4CF-44AD-BE27-5315F6FC7026}"/>
    <cellStyle name="Procentai 2 7 2" xfId="450" xr:uid="{50EC74B4-1C78-4C29-89E7-206FDF4B7360}"/>
    <cellStyle name="Procentai 2 8" xfId="331" xr:uid="{5B19FA52-1EF9-408F-809E-988BA9AD8F35}"/>
    <cellStyle name="Обычный_2++" xfId="61" xr:uid="{59834D9B-5824-47F4-89C9-28D71AFB444B}"/>
  </cellStyles>
  <dxfs count="1">
    <dxf>
      <font>
        <color rgb="FFFFFFFF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FF"/>
      <color rgb="FFB2B2B2"/>
      <color rgb="FF808080"/>
      <color rgb="FFD2EBDB"/>
      <color rgb="FFE2F2E8"/>
      <color rgb="FFD4EAE3"/>
      <color rgb="FF0DA378"/>
      <color rgb="FF9DE1AC"/>
      <color rgb="FFA5D8B7"/>
      <color rgb="FF9CE2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0706502265346455"/>
          <c:y val="2.806391568380354E-2"/>
          <c:w val="0.78596958195503153"/>
          <c:h val="0.90736464639249603"/>
        </c:manualLayout>
      </c:layout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cat>
            <c:numRef>
              <c:f>SKAIČIUOKLĖ!$H$5:$O$5</c:f>
              <c:numCache>
                <c:formatCode>General</c:formatCode>
                <c:ptCount val="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</c:numCache>
            </c:numRef>
          </c:cat>
          <c:val>
            <c:numRef>
              <c:f>SKAIČIUOKLĖ!$H$49:$O$49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C7-4231-BB1A-52D3762157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1782498127"/>
        <c:axId val="1624634447"/>
      </c:lineChart>
      <c:catAx>
        <c:axId val="17824981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2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accent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accent3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4634447"/>
        <c:crosses val="autoZero"/>
        <c:auto val="1"/>
        <c:lblAlgn val="ctr"/>
        <c:lblOffset val="100"/>
        <c:noMultiLvlLbl val="0"/>
      </c:catAx>
      <c:valAx>
        <c:axId val="1624634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2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3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kt CO2 ekv.</a:t>
                </a:r>
                <a:endParaRPr lang="lt-LT"/>
              </a:p>
            </c:rich>
          </c:tx>
          <c:layout>
            <c:manualLayout>
              <c:xMode val="edge"/>
              <c:yMode val="edge"/>
              <c:x val="2.7437460985214216E-2"/>
              <c:y val="0.34146119156806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accent3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t-LT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3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2498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FFFFF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>
          <a:solidFill>
            <a:schemeClr val="accent3">
              <a:lumMod val="50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image" Target="../media/image9.svg"/><Relationship Id="rId3" Type="http://schemas.openxmlformats.org/officeDocument/2006/relationships/hyperlink" Target="#INSTRUKCIJA!A1"/><Relationship Id="rId7" Type="http://schemas.openxmlformats.org/officeDocument/2006/relationships/hyperlink" Target="#Atnaujinimas!A1"/><Relationship Id="rId12" Type="http://schemas.openxmlformats.org/officeDocument/2006/relationships/image" Target="../media/image8.png"/><Relationship Id="rId2" Type="http://schemas.openxmlformats.org/officeDocument/2006/relationships/image" Target="../media/image1.png"/><Relationship Id="rId1" Type="http://schemas.openxmlformats.org/officeDocument/2006/relationships/hyperlink" Target="#PRAD&#381;IA!A1"/><Relationship Id="rId6" Type="http://schemas.openxmlformats.org/officeDocument/2006/relationships/image" Target="../media/image3.png"/><Relationship Id="rId11" Type="http://schemas.openxmlformats.org/officeDocument/2006/relationships/image" Target="../media/image7.svg"/><Relationship Id="rId5" Type="http://schemas.openxmlformats.org/officeDocument/2006/relationships/hyperlink" Target="#SKAI&#268;IUOKL&#278;!A1"/><Relationship Id="rId15" Type="http://schemas.openxmlformats.org/officeDocument/2006/relationships/image" Target="../media/image10.png"/><Relationship Id="rId10" Type="http://schemas.openxmlformats.org/officeDocument/2006/relationships/image" Target="../media/image6.png"/><Relationship Id="rId4" Type="http://schemas.openxmlformats.org/officeDocument/2006/relationships/image" Target="../media/image2.png"/><Relationship Id="rId9" Type="http://schemas.openxmlformats.org/officeDocument/2006/relationships/image" Target="../media/image5.png"/><Relationship Id="rId14" Type="http://schemas.openxmlformats.org/officeDocument/2006/relationships/hyperlink" Target="https://aaa.lrv.lt/lt/veiklos-sritys/teisekuros-poveikio-vertinimas/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PRAD&#381;IA!A1"/><Relationship Id="rId13" Type="http://schemas.openxmlformats.org/officeDocument/2006/relationships/hyperlink" Target="#Atnaujinimas!A1"/><Relationship Id="rId3" Type="http://schemas.openxmlformats.org/officeDocument/2006/relationships/image" Target="../media/image7.svg"/><Relationship Id="rId7" Type="http://schemas.openxmlformats.org/officeDocument/2006/relationships/hyperlink" Target="https://www.gamta.lt/apie-agentura/aplinkos-apsaugos-agenturos-veiklu-zemelapis/153" TargetMode="External"/><Relationship Id="rId12" Type="http://schemas.openxmlformats.org/officeDocument/2006/relationships/image" Target="../media/image3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1.png"/><Relationship Id="rId11" Type="http://schemas.openxmlformats.org/officeDocument/2006/relationships/hyperlink" Target="#Skai&#269;iuokl&#279;!A1"/><Relationship Id="rId5" Type="http://schemas.openxmlformats.org/officeDocument/2006/relationships/image" Target="../media/image9.svg"/><Relationship Id="rId10" Type="http://schemas.openxmlformats.org/officeDocument/2006/relationships/image" Target="../media/image13.png"/><Relationship Id="rId4" Type="http://schemas.openxmlformats.org/officeDocument/2006/relationships/image" Target="../media/image8.png"/><Relationship Id="rId9" Type="http://schemas.openxmlformats.org/officeDocument/2006/relationships/image" Target="../media/image12.png"/><Relationship Id="rId1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SKAI&#268;IUOKL&#278;!A1"/><Relationship Id="rId13" Type="http://schemas.openxmlformats.org/officeDocument/2006/relationships/hyperlink" Target="https://aaa.lrv.lt/lt/veiklos-sritys/teisekuros-poveikio-vertinimas/" TargetMode="External"/><Relationship Id="rId3" Type="http://schemas.openxmlformats.org/officeDocument/2006/relationships/image" Target="../media/image9.svg"/><Relationship Id="rId7" Type="http://schemas.openxmlformats.org/officeDocument/2006/relationships/image" Target="../media/image14.png"/><Relationship Id="rId12" Type="http://schemas.openxmlformats.org/officeDocument/2006/relationships/image" Target="../media/image17.png"/><Relationship Id="rId2" Type="http://schemas.openxmlformats.org/officeDocument/2006/relationships/image" Target="../media/image8.png"/><Relationship Id="rId1" Type="http://schemas.openxmlformats.org/officeDocument/2006/relationships/image" Target="../media/image5.png"/><Relationship Id="rId6" Type="http://schemas.openxmlformats.org/officeDocument/2006/relationships/hyperlink" Target="#PRAD&#381;IA!A1"/><Relationship Id="rId11" Type="http://schemas.openxmlformats.org/officeDocument/2006/relationships/image" Target="../media/image16.png"/><Relationship Id="rId5" Type="http://schemas.openxmlformats.org/officeDocument/2006/relationships/image" Target="../media/image7.svg"/><Relationship Id="rId10" Type="http://schemas.openxmlformats.org/officeDocument/2006/relationships/hyperlink" Target="#ATNAUJINIMAS!A1"/><Relationship Id="rId4" Type="http://schemas.openxmlformats.org/officeDocument/2006/relationships/image" Target="../media/image6.png"/><Relationship Id="rId9" Type="http://schemas.openxmlformats.org/officeDocument/2006/relationships/image" Target="../media/image15.png"/><Relationship Id="rId14" Type="http://schemas.openxmlformats.org/officeDocument/2006/relationships/image" Target="../media/image10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13" Type="http://schemas.openxmlformats.org/officeDocument/2006/relationships/hyperlink" Target="#Skai&#269;iuokl&#279;!A1"/><Relationship Id="rId3" Type="http://schemas.openxmlformats.org/officeDocument/2006/relationships/image" Target="../media/image6.png"/><Relationship Id="rId7" Type="http://schemas.openxmlformats.org/officeDocument/2006/relationships/hyperlink" Target="#PRAD&#381;IA!A1"/><Relationship Id="rId12" Type="http://schemas.openxmlformats.org/officeDocument/2006/relationships/image" Target="../media/image2.png"/><Relationship Id="rId2" Type="http://schemas.openxmlformats.org/officeDocument/2006/relationships/image" Target="../media/image5.png"/><Relationship Id="rId16" Type="http://schemas.openxmlformats.org/officeDocument/2006/relationships/image" Target="../media/image10.png"/><Relationship Id="rId1" Type="http://schemas.openxmlformats.org/officeDocument/2006/relationships/chart" Target="../charts/chart1.xml"/><Relationship Id="rId6" Type="http://schemas.openxmlformats.org/officeDocument/2006/relationships/image" Target="../media/image9.svg"/><Relationship Id="rId11" Type="http://schemas.openxmlformats.org/officeDocument/2006/relationships/hyperlink" Target="#INSTRUKCIJA!A1"/><Relationship Id="rId5" Type="http://schemas.openxmlformats.org/officeDocument/2006/relationships/image" Target="../media/image8.png"/><Relationship Id="rId15" Type="http://schemas.openxmlformats.org/officeDocument/2006/relationships/hyperlink" Target="https://aaa.lrv.lt/lt/veiklos-sritys/teisekuros-poveikio-vertinimas/" TargetMode="External"/><Relationship Id="rId10" Type="http://schemas.openxmlformats.org/officeDocument/2006/relationships/image" Target="../media/image4.png"/><Relationship Id="rId4" Type="http://schemas.openxmlformats.org/officeDocument/2006/relationships/image" Target="../media/image7.svg"/><Relationship Id="rId9" Type="http://schemas.openxmlformats.org/officeDocument/2006/relationships/hyperlink" Target="#Atnaujinimas!A1"/><Relationship Id="rId14" Type="http://schemas.openxmlformats.org/officeDocument/2006/relationships/image" Target="../media/image18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INSTRUKCIJA!A1"/><Relationship Id="rId13" Type="http://schemas.openxmlformats.org/officeDocument/2006/relationships/image" Target="../media/image19.png"/><Relationship Id="rId3" Type="http://schemas.openxmlformats.org/officeDocument/2006/relationships/image" Target="../media/image7.svg"/><Relationship Id="rId7" Type="http://schemas.openxmlformats.org/officeDocument/2006/relationships/image" Target="../media/image12.png"/><Relationship Id="rId12" Type="http://schemas.openxmlformats.org/officeDocument/2006/relationships/hyperlink" Target="#Atnaujinimas!A1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hyperlink" Target="#PRAD&#381;IA!A1"/><Relationship Id="rId11" Type="http://schemas.openxmlformats.org/officeDocument/2006/relationships/image" Target="../media/image3.png"/><Relationship Id="rId5" Type="http://schemas.openxmlformats.org/officeDocument/2006/relationships/image" Target="../media/image9.svg"/><Relationship Id="rId15" Type="http://schemas.openxmlformats.org/officeDocument/2006/relationships/image" Target="../media/image10.png"/><Relationship Id="rId10" Type="http://schemas.openxmlformats.org/officeDocument/2006/relationships/hyperlink" Target="#SKAI&#268;IUOKL&#278;!A1"/><Relationship Id="rId4" Type="http://schemas.openxmlformats.org/officeDocument/2006/relationships/image" Target="../media/image8.png"/><Relationship Id="rId9" Type="http://schemas.openxmlformats.org/officeDocument/2006/relationships/image" Target="../media/image2.png"/><Relationship Id="rId14" Type="http://schemas.openxmlformats.org/officeDocument/2006/relationships/hyperlink" Target="https://aaa.lrv.lt/lt/veiklos-sritys/teisekuros-poveikio-vertinima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68036</xdr:colOff>
      <xdr:row>40</xdr:row>
      <xdr:rowOff>11943</xdr:rowOff>
    </xdr:from>
    <xdr:to>
      <xdr:col>29</xdr:col>
      <xdr:colOff>360889</xdr:colOff>
      <xdr:row>51</xdr:row>
      <xdr:rowOff>159504</xdr:rowOff>
    </xdr:to>
    <xdr:sp macro="" textlink="">
      <xdr:nvSpPr>
        <xdr:cNvPr id="2" name="Stačiakampis: suapvalinti kampai 1">
          <a:extLst>
            <a:ext uri="{FF2B5EF4-FFF2-40B4-BE49-F238E27FC236}">
              <a16:creationId xmlns:a16="http://schemas.microsoft.com/office/drawing/2014/main" id="{CA9784A6-091A-4482-BD14-C68D57E5CD8C}"/>
            </a:ext>
          </a:extLst>
        </xdr:cNvPr>
        <xdr:cNvSpPr/>
      </xdr:nvSpPr>
      <xdr:spPr>
        <a:xfrm rot="5400000">
          <a:off x="13237557" y="5310339"/>
          <a:ext cx="2184853" cy="7277853"/>
        </a:xfrm>
        <a:prstGeom prst="roundRect">
          <a:avLst>
            <a:gd name="adj" fmla="val 6863"/>
          </a:avLst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0</xdr:col>
      <xdr:colOff>141942</xdr:colOff>
      <xdr:row>5</xdr:row>
      <xdr:rowOff>7470</xdr:rowOff>
    </xdr:from>
    <xdr:to>
      <xdr:col>2</xdr:col>
      <xdr:colOff>201707</xdr:colOff>
      <xdr:row>6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99B933A-9261-41ED-B8B7-7D15EEED2BFA}"/>
            </a:ext>
          </a:extLst>
        </xdr:cNvPr>
        <xdr:cNvSpPr txBox="1"/>
      </xdr:nvSpPr>
      <xdr:spPr>
        <a:xfrm>
          <a:off x="141942" y="979020"/>
          <a:ext cx="1278965" cy="2215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lt-LT" sz="1100"/>
        </a:p>
      </xdr:txBody>
    </xdr:sp>
    <xdr:clientData/>
  </xdr:twoCellAnchor>
  <xdr:twoCellAnchor>
    <xdr:from>
      <xdr:col>4</xdr:col>
      <xdr:colOff>219365</xdr:colOff>
      <xdr:row>2</xdr:row>
      <xdr:rowOff>24576</xdr:rowOff>
    </xdr:from>
    <xdr:to>
      <xdr:col>15</xdr:col>
      <xdr:colOff>965731</xdr:colOff>
      <xdr:row>5</xdr:row>
      <xdr:rowOff>184726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325F2996-4C5E-4646-9B1B-F30108501339}"/>
            </a:ext>
            <a:ext uri="{147F2762-F138-4A5C-976F-8EAC2B608ADB}">
              <a16:predDERef xmlns:a16="http://schemas.microsoft.com/office/drawing/2014/main" pred="{8F25ABEF-DBB9-A147-2351-0D3B1C825F90}"/>
            </a:ext>
          </a:extLst>
        </xdr:cNvPr>
        <xdr:cNvSpPr txBox="1"/>
      </xdr:nvSpPr>
      <xdr:spPr>
        <a:xfrm>
          <a:off x="2667001" y="394031"/>
          <a:ext cx="7408094" cy="7605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GYVULIŲ POPULIACIJOS REGULIAVIMO POVEIKIO </a:t>
          </a:r>
          <a:r>
            <a:rPr lang="en-US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VERTINIMO SKAI</a:t>
          </a:r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ČIUOKLĖ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600" b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KOMPLEKSINIS</a:t>
          </a:r>
          <a:r>
            <a:rPr lang="lt-LT" sz="16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SKAIČIAVIMO ĮRANKIS</a:t>
          </a:r>
          <a:endParaRPr lang="lt-LT" sz="1600" b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lt-LT" sz="16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r>
            <a:rPr lang="lt-LT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lt-LT" sz="16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lt-LT" sz="16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lt-LT" sz="1600" b="0" i="0">
            <a:ln>
              <a:noFill/>
            </a:ln>
            <a:solidFill>
              <a:schemeClr val="accent3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0</xdr:col>
      <xdr:colOff>201266</xdr:colOff>
      <xdr:row>0</xdr:row>
      <xdr:rowOff>163286</xdr:rowOff>
    </xdr:from>
    <xdr:to>
      <xdr:col>3</xdr:col>
      <xdr:colOff>253145</xdr:colOff>
      <xdr:row>51</xdr:row>
      <xdr:rowOff>132547</xdr:rowOff>
    </xdr:to>
    <xdr:sp macro="" textlink="">
      <xdr:nvSpPr>
        <xdr:cNvPr id="5" name="Stačiakampis: suapvalinti kampai 4">
          <a:extLst>
            <a:ext uri="{FF2B5EF4-FFF2-40B4-BE49-F238E27FC236}">
              <a16:creationId xmlns:a16="http://schemas.microsoft.com/office/drawing/2014/main" id="{0BA4900F-C318-49FB-A843-174AC8E68FCE}"/>
            </a:ext>
          </a:extLst>
        </xdr:cNvPr>
        <xdr:cNvSpPr/>
      </xdr:nvSpPr>
      <xdr:spPr>
        <a:xfrm>
          <a:off x="201266" y="163286"/>
          <a:ext cx="1807200" cy="10133797"/>
        </a:xfrm>
        <a:prstGeom prst="roundRect">
          <a:avLst>
            <a:gd name="adj" fmla="val 4546"/>
          </a:avLst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17</xdr:col>
      <xdr:colOff>80510</xdr:colOff>
      <xdr:row>40</xdr:row>
      <xdr:rowOff>69547</xdr:rowOff>
    </xdr:from>
    <xdr:to>
      <xdr:col>29</xdr:col>
      <xdr:colOff>469925</xdr:colOff>
      <xdr:row>49</xdr:row>
      <xdr:rowOff>116265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854E040-C73C-43A7-9BAD-392A1EA6A8CE}"/>
            </a:ext>
          </a:extLst>
        </xdr:cNvPr>
        <xdr:cNvSpPr txBox="1"/>
      </xdr:nvSpPr>
      <xdr:spPr>
        <a:xfrm>
          <a:off x="10703531" y="7914443"/>
          <a:ext cx="7374415" cy="17135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lang="lt-LT" sz="11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Skaičiuoklės autorinių teisių apsauga</a:t>
          </a:r>
          <a:endParaRPr lang="lt-LT">
            <a:solidFill>
              <a:schemeClr val="accent3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17</xdr:col>
      <xdr:colOff>92302</xdr:colOff>
      <xdr:row>42</xdr:row>
      <xdr:rowOff>36166</xdr:rowOff>
    </xdr:from>
    <xdr:to>
      <xdr:col>29</xdr:col>
      <xdr:colOff>408320</xdr:colOff>
      <xdr:row>50</xdr:row>
      <xdr:rowOff>98952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84A7CE74-312D-49F5-BE60-D17A4DE9C467}"/>
            </a:ext>
          </a:extLst>
        </xdr:cNvPr>
        <xdr:cNvSpPr txBox="1"/>
      </xdr:nvSpPr>
      <xdr:spPr>
        <a:xfrm>
          <a:off x="10715323" y="8251479"/>
          <a:ext cx="7301018" cy="15444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i="0">
              <a:solidFill>
                <a:srgbClr val="808080"/>
              </a:solidFill>
            </a:rPr>
            <a:t>Skaičiuoklė yra LR įstatymų saugomas autorių teisių objektas. Skelbiant ar cituojant joje pateiktą informaciją kituose šaltiniuose ir/ arba leidiniuose (interneto svetainėse, straipsniuose, studijose, kt.), būtina nurodyti informacijos šaltinį. Rekomenduojami</a:t>
          </a:r>
          <a:r>
            <a:rPr lang="lt-LT" i="0" baseline="0">
              <a:solidFill>
                <a:srgbClr val="808080"/>
              </a:solidFill>
            </a:rPr>
            <a:t> citavimo būdai: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lt-LT" b="0" i="0">
            <a:solidFill>
              <a:srgbClr val="80808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Aplinkos apsaugos agent</a:t>
          </a: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ūra</a:t>
          </a:r>
          <a:r>
            <a:rPr lang="lt-LT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(</a:t>
          </a:r>
          <a:r>
            <a:rPr lang="en-US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2023).</a:t>
          </a: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Gyvuli</a:t>
          </a: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populiacijos </a:t>
          </a:r>
          <a:r>
            <a:rPr lang="lt-LT" sz="1100" b="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reguliavimo poveikio ŠESD kiekio pokyčiui analizė</a:t>
          </a:r>
          <a:r>
            <a:rPr lang="en-US" sz="1100" b="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s skai</a:t>
          </a:r>
          <a:r>
            <a:rPr lang="lt-LT" sz="1100" b="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čiuoklė</a:t>
          </a:r>
          <a:r>
            <a:rPr lang="en-US" sz="1100" b="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V.1.0. Vilnius</a:t>
          </a:r>
          <a:endParaRPr lang="lt-LT" sz="1100" b="0" baseline="0">
            <a:solidFill>
              <a:srgbClr val="80808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lt-LT" sz="1100" b="0" baseline="0">
            <a:solidFill>
              <a:srgbClr val="80808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©</a:t>
          </a:r>
          <a:r>
            <a:rPr lang="lt-LT" sz="1100" b="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Aplinkos apsaugos agentūra</a:t>
          </a:r>
          <a:endParaRPr lang="lt-LT">
            <a:solidFill>
              <a:srgbClr val="808080"/>
            </a:solidFill>
            <a:effectLst/>
          </a:endParaRPr>
        </a:p>
        <a:p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0</xdr:col>
      <xdr:colOff>367393</xdr:colOff>
      <xdr:row>7</xdr:row>
      <xdr:rowOff>122464</xdr:rowOff>
    </xdr:from>
    <xdr:to>
      <xdr:col>3</xdr:col>
      <xdr:colOff>95272</xdr:colOff>
      <xdr:row>11</xdr:row>
      <xdr:rowOff>4838</xdr:rowOff>
    </xdr:to>
    <xdr:pic>
      <xdr:nvPicPr>
        <xdr:cNvPr id="7" name="Picture 6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BF96F3-5818-4CE6-8B23-1690C2114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7393" y="1510393"/>
          <a:ext cx="1483200" cy="698802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381001</xdr:colOff>
      <xdr:row>12</xdr:row>
      <xdr:rowOff>68037</xdr:rowOff>
    </xdr:from>
    <xdr:to>
      <xdr:col>3</xdr:col>
      <xdr:colOff>108880</xdr:colOff>
      <xdr:row>15</xdr:row>
      <xdr:rowOff>136695</xdr:rowOff>
    </xdr:to>
    <xdr:pic>
      <xdr:nvPicPr>
        <xdr:cNvPr id="8" name="Picture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C4DB1C3-7260-409C-A730-25797226B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1" y="2462894"/>
          <a:ext cx="1483200" cy="6945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381000</xdr:colOff>
      <xdr:row>16</xdr:row>
      <xdr:rowOff>149679</xdr:rowOff>
    </xdr:from>
    <xdr:to>
      <xdr:col>3</xdr:col>
      <xdr:colOff>108879</xdr:colOff>
      <xdr:row>20</xdr:row>
      <xdr:rowOff>71566</xdr:rowOff>
    </xdr:to>
    <xdr:pic>
      <xdr:nvPicPr>
        <xdr:cNvPr id="9" name="Picture 6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385F9A4-3C82-42AF-A013-094CB56E6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81000" y="3415393"/>
          <a:ext cx="1483200" cy="697494"/>
        </a:xfrm>
        <a:prstGeom prst="rect">
          <a:avLst/>
        </a:prstGeom>
      </xdr:spPr>
    </xdr:pic>
    <xdr:clientData/>
  </xdr:twoCellAnchor>
  <xdr:twoCellAnchor>
    <xdr:from>
      <xdr:col>0</xdr:col>
      <xdr:colOff>381000</xdr:colOff>
      <xdr:row>21</xdr:row>
      <xdr:rowOff>81643</xdr:rowOff>
    </xdr:from>
    <xdr:to>
      <xdr:col>3</xdr:col>
      <xdr:colOff>108879</xdr:colOff>
      <xdr:row>24</xdr:row>
      <xdr:rowOff>203113</xdr:rowOff>
    </xdr:to>
    <xdr:pic>
      <xdr:nvPicPr>
        <xdr:cNvPr id="27" name="Picture 6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F3D5FE0-A01C-41D1-9ADF-349A2552A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81000" y="4367893"/>
          <a:ext cx="1483200" cy="692970"/>
        </a:xfrm>
        <a:prstGeom prst="rect">
          <a:avLst/>
        </a:prstGeom>
      </xdr:spPr>
    </xdr:pic>
    <xdr:clientData/>
  </xdr:twoCellAnchor>
  <xdr:twoCellAnchor>
    <xdr:from>
      <xdr:col>0</xdr:col>
      <xdr:colOff>421821</xdr:colOff>
      <xdr:row>2</xdr:row>
      <xdr:rowOff>13606</xdr:rowOff>
    </xdr:from>
    <xdr:to>
      <xdr:col>3</xdr:col>
      <xdr:colOff>44527</xdr:colOff>
      <xdr:row>4</xdr:row>
      <xdr:rowOff>168562</xdr:rowOff>
    </xdr:to>
    <xdr:pic>
      <xdr:nvPicPr>
        <xdr:cNvPr id="28" name="Paveikslėlis 2">
          <a:extLst>
            <a:ext uri="{FF2B5EF4-FFF2-40B4-BE49-F238E27FC236}">
              <a16:creationId xmlns:a16="http://schemas.microsoft.com/office/drawing/2014/main" id="{01D967E5-04C8-4E62-99D2-0917151B9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821" y="394606"/>
          <a:ext cx="1378027" cy="590385"/>
        </a:xfrm>
        <a:prstGeom prst="rect">
          <a:avLst/>
        </a:prstGeom>
      </xdr:spPr>
    </xdr:pic>
    <xdr:clientData/>
  </xdr:twoCellAnchor>
  <xdr:twoCellAnchor editAs="oneCell">
    <xdr:from>
      <xdr:col>1</xdr:col>
      <xdr:colOff>322148</xdr:colOff>
      <xdr:row>27</xdr:row>
      <xdr:rowOff>54428</xdr:rowOff>
    </xdr:from>
    <xdr:to>
      <xdr:col>2</xdr:col>
      <xdr:colOff>231209</xdr:colOff>
      <xdr:row>29</xdr:row>
      <xdr:rowOff>117927</xdr:rowOff>
    </xdr:to>
    <xdr:pic>
      <xdr:nvPicPr>
        <xdr:cNvPr id="37" name="Grafinis elementas 6" descr="Envelope outline">
          <a:extLst>
            <a:ext uri="{FF2B5EF4-FFF2-40B4-BE49-F238E27FC236}">
              <a16:creationId xmlns:a16="http://schemas.microsoft.com/office/drawing/2014/main" id="{45D169BA-11A6-4FCD-9A8F-D431641C1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907255" y="5592535"/>
          <a:ext cx="494168" cy="444499"/>
        </a:xfrm>
        <a:prstGeom prst="rect">
          <a:avLst/>
        </a:prstGeom>
      </xdr:spPr>
    </xdr:pic>
    <xdr:clientData/>
  </xdr:twoCellAnchor>
  <xdr:twoCellAnchor>
    <xdr:from>
      <xdr:col>1</xdr:col>
      <xdr:colOff>107002</xdr:colOff>
      <xdr:row>29</xdr:row>
      <xdr:rowOff>90014</xdr:rowOff>
    </xdr:from>
    <xdr:to>
      <xdr:col>3</xdr:col>
      <xdr:colOff>255437</xdr:colOff>
      <xdr:row>30</xdr:row>
      <xdr:rowOff>164996</xdr:rowOff>
    </xdr:to>
    <xdr:sp macro="" textlink="">
      <xdr:nvSpPr>
        <xdr:cNvPr id="39" name="TextBox 11">
          <a:extLst>
            <a:ext uri="{FF2B5EF4-FFF2-40B4-BE49-F238E27FC236}">
              <a16:creationId xmlns:a16="http://schemas.microsoft.com/office/drawing/2014/main" id="{89C46D9D-6514-4BD2-863E-D00EDAD6EF16}"/>
            </a:ext>
          </a:extLst>
        </xdr:cNvPr>
        <xdr:cNvSpPr txBox="1"/>
      </xdr:nvSpPr>
      <xdr:spPr>
        <a:xfrm>
          <a:off x="692109" y="6009121"/>
          <a:ext cx="1318649" cy="265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 editAs="oneCell">
    <xdr:from>
      <xdr:col>1</xdr:col>
      <xdr:colOff>386183</xdr:colOff>
      <xdr:row>32</xdr:row>
      <xdr:rowOff>182204</xdr:rowOff>
    </xdr:from>
    <xdr:to>
      <xdr:col>2</xdr:col>
      <xdr:colOff>147852</xdr:colOff>
      <xdr:row>34</xdr:row>
      <xdr:rowOff>179275</xdr:rowOff>
    </xdr:to>
    <xdr:pic>
      <xdr:nvPicPr>
        <xdr:cNvPr id="40" name="Grafinis elementas 8" descr="Receiver outline">
          <a:extLst>
            <a:ext uri="{FF2B5EF4-FFF2-40B4-BE49-F238E27FC236}">
              <a16:creationId xmlns:a16="http://schemas.microsoft.com/office/drawing/2014/main" id="{92DAFA6A-5E4E-4CF0-99A2-C8D02B674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971290" y="6672811"/>
          <a:ext cx="346776" cy="387596"/>
        </a:xfrm>
        <a:prstGeom prst="rect">
          <a:avLst/>
        </a:prstGeom>
      </xdr:spPr>
    </xdr:pic>
    <xdr:clientData/>
  </xdr:twoCellAnchor>
  <xdr:twoCellAnchor>
    <xdr:from>
      <xdr:col>1</xdr:col>
      <xdr:colOff>13608</xdr:colOff>
      <xdr:row>35</xdr:row>
      <xdr:rowOff>40947</xdr:rowOff>
    </xdr:from>
    <xdr:to>
      <xdr:col>3</xdr:col>
      <xdr:colOff>162043</xdr:colOff>
      <xdr:row>36</xdr:row>
      <xdr:rowOff>105415</xdr:rowOff>
    </xdr:to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3B334E66-F327-4673-BF4E-F21A92B061BC}"/>
            </a:ext>
          </a:extLst>
        </xdr:cNvPr>
        <xdr:cNvSpPr txBox="1"/>
      </xdr:nvSpPr>
      <xdr:spPr>
        <a:xfrm>
          <a:off x="598715" y="7103054"/>
          <a:ext cx="1318649" cy="2549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4</xdr:col>
      <xdr:colOff>238785</xdr:colOff>
      <xdr:row>43</xdr:row>
      <xdr:rowOff>37649</xdr:rowOff>
    </xdr:from>
    <xdr:to>
      <xdr:col>15</xdr:col>
      <xdr:colOff>995755</xdr:colOff>
      <xdr:row>52</xdr:row>
      <xdr:rowOff>135661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4094313-DADA-4DB9-8949-1B2F42D0B12B}"/>
            </a:ext>
          </a:extLst>
        </xdr:cNvPr>
        <xdr:cNvSpPr txBox="1"/>
      </xdr:nvSpPr>
      <xdr:spPr>
        <a:xfrm>
          <a:off x="2651785" y="8610149"/>
          <a:ext cx="7329220" cy="18125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400" i="0">
              <a:solidFill>
                <a:schemeClr val="accent3">
                  <a:lumMod val="25000"/>
                </a:schemeClr>
              </a:solidFill>
            </a:rPr>
            <a:t>Rekomenduojami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</a:rPr>
            <a:t> citavimo būdai: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Aplinkos apsaugos agent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ūra</a:t>
          </a:r>
          <a:r>
            <a:rPr lang="lt-LT" sz="14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(</a:t>
          </a:r>
          <a:r>
            <a:rPr lang="en-US" sz="14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metai).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Gyvulių populiacijos reguliavimo poveikio vertinimo skaičiuoklė</a:t>
          </a:r>
          <a:r>
            <a:rPr lang="en-US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 Vilnius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©</a:t>
          </a:r>
          <a:r>
            <a:rPr lang="lt-LT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Aplinkos apsaugos agentūra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endParaRPr lang="lt-LT" sz="12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4</xdr:col>
      <xdr:colOff>209676</xdr:colOff>
      <xdr:row>40</xdr:row>
      <xdr:rowOff>154217</xdr:rowOff>
    </xdr:from>
    <xdr:to>
      <xdr:col>15</xdr:col>
      <xdr:colOff>1081688</xdr:colOff>
      <xdr:row>43</xdr:row>
      <xdr:rowOff>83707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D11A4C8-4168-42AC-9AB9-00EB16DC616A}"/>
            </a:ext>
          </a:extLst>
        </xdr:cNvPr>
        <xdr:cNvSpPr txBox="1"/>
      </xdr:nvSpPr>
      <xdr:spPr>
        <a:xfrm>
          <a:off x="2622676" y="8155217"/>
          <a:ext cx="7444262" cy="5009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</a:rPr>
            <a:t>SKAIČIUOKLĖS AUTORINIŲ TEISIŲ APSAUGA</a:t>
          </a:r>
        </a:p>
      </xdr:txBody>
    </xdr:sp>
    <xdr:clientData/>
  </xdr:twoCellAnchor>
  <xdr:twoCellAnchor>
    <xdr:from>
      <xdr:col>4</xdr:col>
      <xdr:colOff>150236</xdr:colOff>
      <xdr:row>8</xdr:row>
      <xdr:rowOff>59603</xdr:rowOff>
    </xdr:from>
    <xdr:to>
      <xdr:col>15</xdr:col>
      <xdr:colOff>1412727</xdr:colOff>
      <xdr:row>14</xdr:row>
      <xdr:rowOff>166688</xdr:rowOff>
    </xdr:to>
    <xdr:sp macro="" textlink="">
      <xdr:nvSpPr>
        <xdr:cNvPr id="16" name="TextBox 10">
          <a:extLst>
            <a:ext uri="{FF2B5EF4-FFF2-40B4-BE49-F238E27FC236}">
              <a16:creationId xmlns:a16="http://schemas.microsoft.com/office/drawing/2014/main" id="{8BD78BF3-211E-45C2-BE9D-E5564B011F21}"/>
            </a:ext>
            <a:ext uri="{147F2762-F138-4A5C-976F-8EAC2B608ADB}">
              <a16:predDERef xmlns:a16="http://schemas.microsoft.com/office/drawing/2014/main" pred="{7D11A4C8-4168-42AC-9AB9-00EB16DC616A}"/>
            </a:ext>
          </a:extLst>
        </xdr:cNvPr>
        <xdr:cNvSpPr txBox="1"/>
      </xdr:nvSpPr>
      <xdr:spPr>
        <a:xfrm>
          <a:off x="2594986" y="1575666"/>
          <a:ext cx="7922054" cy="1258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spcAft>
              <a:spcPts val="800"/>
            </a:spcAft>
          </a:pPr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ĮVADAS </a:t>
          </a:r>
          <a:endParaRPr lang="lt-LT" sz="16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Aptos" panose="020B0004020202020204" pitchFamily="34" charset="0"/>
              <a:cs typeface="Times New Roman" panose="02020603050405020304" pitchFamily="18" charset="0"/>
            </a:rPr>
            <a:t>Skaičiuoklė - tai inovatyvus Microsoft Excel pagrindu sukurtas įrankis</a:t>
          </a:r>
          <a:r>
            <a:rPr kumimoji="0" lang="en-US" sz="1400" b="0" i="0" u="none" strike="noStrike" kern="10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Aptos" panose="020B0004020202020204" pitchFamily="34" charset="0"/>
              <a:cs typeface="Times New Roman" panose="02020603050405020304" pitchFamily="18" charset="0"/>
            </a:rPr>
            <a:t>,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Aptos" panose="020B0004020202020204" pitchFamily="34" charset="0"/>
              <a:cs typeface="Times New Roman" panose="02020603050405020304" pitchFamily="18" charset="0"/>
            </a:rPr>
            <a:t> padedantis nustatyti teisėkūros iniciatyvų poveikį išmetamų šiltnamio efektą sukeliančių dujų (toliau - ŠESD) kiekio pokyčiams.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kumimoji="0" lang="lt-LT" sz="1400" b="0" i="0" u="none" strike="noStrike" kern="0" cap="none" spc="0" normalizeH="0" baseline="0" noProof="0">
            <a:ln>
              <a:noFill/>
            </a:ln>
            <a:solidFill>
              <a:srgbClr val="F4FAF6">
                <a:lumMod val="25000"/>
              </a:srgb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 </a:t>
          </a:r>
          <a:endParaRPr lang="lt-LT" sz="14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endParaRPr lang="lt-LT" sz="14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4</xdr:col>
      <xdr:colOff>204209</xdr:colOff>
      <xdr:row>17</xdr:row>
      <xdr:rowOff>85436</xdr:rowOff>
    </xdr:from>
    <xdr:to>
      <xdr:col>16</xdr:col>
      <xdr:colOff>37953</xdr:colOff>
      <xdr:row>32</xdr:row>
      <xdr:rowOff>5485</xdr:rowOff>
    </xdr:to>
    <xdr:sp macro="" textlink="">
      <xdr:nvSpPr>
        <xdr:cNvPr id="17" name="TextBox 11">
          <a:extLst>
            <a:ext uri="{FF2B5EF4-FFF2-40B4-BE49-F238E27FC236}">
              <a16:creationId xmlns:a16="http://schemas.microsoft.com/office/drawing/2014/main" id="{6835E15A-DD74-41A4-9F47-42D4438E5B95}"/>
            </a:ext>
          </a:extLst>
        </xdr:cNvPr>
        <xdr:cNvSpPr txBox="1"/>
      </xdr:nvSpPr>
      <xdr:spPr>
        <a:xfrm>
          <a:off x="2648959" y="3411249"/>
          <a:ext cx="7922057" cy="28410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spcAft>
              <a:spcPts val="800"/>
            </a:spcAft>
          </a:pPr>
          <a:r>
            <a:rPr lang="en-US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NAVIGACIJA</a:t>
          </a:r>
          <a:endParaRPr lang="lt-LT" sz="16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ct val="150000"/>
            </a:lnSpc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Pradžia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: įvadinis skyrius, supažindinantis su skaičiuoklės tikslais, struktūra, terminologija, kontaktine informacija. </a:t>
          </a:r>
        </a:p>
        <a:p>
          <a:pPr>
            <a:lnSpc>
              <a:spcPct val="150000"/>
            </a:lnSpc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Naudojimo Instrukcija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: pateikiama informacija, kaip efektyviai naudoti skaičiuoklę – atlikti duomenų įvestis, gauti ir interpretuoti rezultatus. </a:t>
          </a:r>
        </a:p>
        <a:p>
          <a:pPr>
            <a:lnSpc>
              <a:spcPct val="150000"/>
            </a:lnSpc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Skaičiuoklė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: pateikiama interaktyvi skaičiavimo platforma, leidžianti atlikti kiekybinį </a:t>
          </a:r>
          <a:r>
            <a:rPr lang="en-US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oveikio vertinimą.</a:t>
          </a:r>
        </a:p>
        <a:p>
          <a:pPr>
            <a:lnSpc>
              <a:spcPct val="150000"/>
            </a:lnSpc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Atnaujinimas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: pateikiama visa istorija apie skaičiuoklės atnaujinimus. Skaičiuoklė nuolat tobulinama. </a:t>
          </a:r>
        </a:p>
        <a:p>
          <a:endParaRPr lang="lt-LT" sz="14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4</xdr:col>
      <xdr:colOff>219364</xdr:colOff>
      <xdr:row>33</xdr:row>
      <xdr:rowOff>99291</xdr:rowOff>
    </xdr:from>
    <xdr:to>
      <xdr:col>16</xdr:col>
      <xdr:colOff>168564</xdr:colOff>
      <xdr:row>41</xdr:row>
      <xdr:rowOff>76490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9BAB1CC-5B7E-4194-BE8E-F47FEEAA8B3F}"/>
            </a:ext>
          </a:extLst>
        </xdr:cNvPr>
        <xdr:cNvSpPr txBox="1"/>
      </xdr:nvSpPr>
      <xdr:spPr>
        <a:xfrm>
          <a:off x="2632364" y="6719166"/>
          <a:ext cx="7950200" cy="1548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50000"/>
            </a:lnSpc>
            <a:spcAft>
              <a:spcPts val="800"/>
            </a:spcAft>
          </a:pPr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PAGALBA IR ATSILIEPIMAI</a:t>
          </a:r>
          <a:endParaRPr lang="lt-LT" sz="16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ct val="150000"/>
            </a:lnSpc>
          </a:pP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Iškilus klausimams dėl skaičiuoklės naudojimo</a:t>
          </a:r>
          <a:r>
            <a:rPr lang="lt-LT" sz="14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kviečiame kreiptis meniu juostoje nurodytais kontaktais.</a:t>
          </a:r>
        </a:p>
        <a:p>
          <a:endParaRPr lang="lt-LT" sz="14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16</xdr:col>
      <xdr:colOff>557067</xdr:colOff>
      <xdr:row>8</xdr:row>
      <xdr:rowOff>41854</xdr:rowOff>
    </xdr:from>
    <xdr:to>
      <xdr:col>33</xdr:col>
      <xdr:colOff>238125</xdr:colOff>
      <xdr:row>52</xdr:row>
      <xdr:rowOff>8660</xdr:rowOff>
    </xdr:to>
    <xdr:sp macro="" textlink="">
      <xdr:nvSpPr>
        <xdr:cNvPr id="14" name="Stačiakampis: suapvalinti kampai 13">
          <a:extLst>
            <a:ext uri="{FF2B5EF4-FFF2-40B4-BE49-F238E27FC236}">
              <a16:creationId xmlns:a16="http://schemas.microsoft.com/office/drawing/2014/main" id="{4222321F-4CDC-4626-BCE4-57A9B6BEDEBA}"/>
            </a:ext>
          </a:extLst>
        </xdr:cNvPr>
        <xdr:cNvSpPr/>
      </xdr:nvSpPr>
      <xdr:spPr>
        <a:xfrm rot="5400000">
          <a:off x="11598130" y="986416"/>
          <a:ext cx="8682181" cy="9936308"/>
        </a:xfrm>
        <a:prstGeom prst="roundRect">
          <a:avLst>
            <a:gd name="adj" fmla="val 0"/>
          </a:avLst>
        </a:prstGeom>
        <a:solidFill>
          <a:sysClr val="window" lastClr="FFFFFF"/>
        </a:solidFill>
        <a:ln>
          <a:solidFill>
            <a:sysClr val="windowText" lastClr="000000"/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17</xdr:col>
      <xdr:colOff>87625</xdr:colOff>
      <xdr:row>8</xdr:row>
      <xdr:rowOff>134408</xdr:rowOff>
    </xdr:from>
    <xdr:to>
      <xdr:col>33</xdr:col>
      <xdr:colOff>88037</xdr:colOff>
      <xdr:row>10</xdr:row>
      <xdr:rowOff>75037</xdr:rowOff>
    </xdr:to>
    <xdr:sp macro="" textlink="">
      <xdr:nvSpPr>
        <xdr:cNvPr id="18" name="TextBox 14">
          <a:extLst>
            <a:ext uri="{FF2B5EF4-FFF2-40B4-BE49-F238E27FC236}">
              <a16:creationId xmlns:a16="http://schemas.microsoft.com/office/drawing/2014/main" id="{E8B9D114-C94C-4D91-9EC6-74F114FFDF5B}"/>
            </a:ext>
          </a:extLst>
        </xdr:cNvPr>
        <xdr:cNvSpPr txBox="1"/>
      </xdr:nvSpPr>
      <xdr:spPr>
        <a:xfrm>
          <a:off x="11240534" y="1658408"/>
          <a:ext cx="9790958" cy="356265"/>
        </a:xfrm>
        <a:prstGeom prst="rect">
          <a:avLst/>
        </a:prstGeom>
        <a:solidFill>
          <a:schemeClr val="accen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600" b="1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</a:rPr>
            <a:t>NAUDOJAMI TERMINAI</a:t>
          </a:r>
          <a:endParaRPr lang="lt-LT" sz="1600" b="1">
            <a:ln>
              <a:noFill/>
            </a:ln>
            <a:solidFill>
              <a:schemeClr val="accent3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17</xdr:col>
      <xdr:colOff>72159</xdr:colOff>
      <xdr:row>10</xdr:row>
      <xdr:rowOff>118343</xdr:rowOff>
    </xdr:from>
    <xdr:to>
      <xdr:col>33</xdr:col>
      <xdr:colOff>79375</xdr:colOff>
      <xdr:row>47</xdr:row>
      <xdr:rowOff>106797</xdr:rowOff>
    </xdr:to>
    <xdr:sp macro="" textlink="">
      <xdr:nvSpPr>
        <xdr:cNvPr id="20" name="TextBox 15">
          <a:extLst>
            <a:ext uri="{FF2B5EF4-FFF2-40B4-BE49-F238E27FC236}">
              <a16:creationId xmlns:a16="http://schemas.microsoft.com/office/drawing/2014/main" id="{C6344CBF-AEED-44A7-AAE8-51A014FC8D85}"/>
            </a:ext>
          </a:extLst>
        </xdr:cNvPr>
        <xdr:cNvSpPr txBox="1"/>
      </xdr:nvSpPr>
      <xdr:spPr>
        <a:xfrm>
          <a:off x="11089409" y="2118593"/>
          <a:ext cx="9659216" cy="73227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Anglies dioksido ekvivalentas (CO</a:t>
          </a:r>
          <a:r>
            <a:rPr lang="lt-LT" sz="1400" b="1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ekv.)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– metano (CH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), azoto suboksido (N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O), hidrofluorangliavandenilių (HFC), perfluorangliavandenilių (PFC), sieros heksafluorido (SF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 dujų kiekis, kuris daro tokį patį poveikį klimato kaitai kaip viena tona anglies dioksido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  <a:p>
          <a:pPr>
            <a:lnSpc>
              <a:spcPct val="150000"/>
            </a:lnSpc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Bazinė gyvulių populiacija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–  gyvulio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populiacija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, jei teisėkūros iniciatyva nebūtų įgyvendinta.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Bazinis ŠESD kiekis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išmetamų ŠESD kiekis, kuris susidarytų neįgyvendinus teisėkūros iniciatyvos. </a:t>
          </a:r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Emisijos faktorius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– tai koeficientas, naudojamas apskaičiuoti specifinį ŠESD kiekį iš tam tikros veiklos ar šaltinio, remiantis veiklos mastu ar naudojamų medžiagų kiekiu. </a:t>
          </a:r>
          <a:endParaRPr lang="en-US" sz="1400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Gyvulio rūšis</a:t>
          </a:r>
          <a:r>
            <a:rPr lang="lt-LT" sz="1400" b="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– žemės ūkio gyvuliams priskiriami mėsiniai galvijai, pieninės karvės, kiaules,  avys.</a:t>
          </a:r>
          <a:endParaRPr lang="lt-LT" sz="1400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Kaupiamasis ŠESD kiekio pokytis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rodiklis, kuris atspindi bendrą ŠESD kiekio pokyčių efektą kiekvienais metais, įtraukiant ne tik einamųjų metų pokyčius, bet ir ankstesnių metų pokyčius, todėl galutinis poveikis yra visų šių pokyčių sumos rezultatas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  <a:endParaRPr lang="lt-LT" sz="1400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Metai 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laikas, kuriam pateikiamos ŠESD 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kiekio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pokyčio, dėl numatomo teisinio reguliavimo poveikio prognozės. </a:t>
          </a:r>
          <a:endParaRPr lang="en-US" sz="1400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Poveikio vertinimas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– teisėkūros iniciatyvų poveikio ŠESD išmetimų sumažinimui vertinimas. </a:t>
          </a:r>
          <a:endParaRPr lang="lt-LT" sz="1400" b="1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ct val="150000"/>
            </a:lnSpc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Projektinė</a:t>
          </a: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gyvulių populiacija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 gyvulio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populiacija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, jei teisėkūros iniciatyva būtų įgyvendinta.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  <a:p>
          <a:pPr>
            <a:lnSpc>
              <a:spcPct val="150000"/>
            </a:lnSpc>
            <a:spcAft>
              <a:spcPts val="400"/>
            </a:spcAft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Projektinis ŠESD kiekis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išmetamų ŠESD kiekis, kuris susidarytų įgyvendinus teisėkūros iniciatyvą. 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Suminis ŠESD kiekio pokytis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-  tai viso per analizuojamą laikotarpį sukaupto ŠESD kiekio sumažėjimo apimtis laikotarpio pabaigoje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  <a:endParaRPr lang="lt-LT" sz="1400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>
            <a:lnSpc>
              <a:spcPct val="150000"/>
            </a:lnSpc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Šiltnamio efektą sukeliančių duj</a:t>
          </a:r>
          <a:r>
            <a:rPr lang="en-US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os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(ŠESD)  –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anglies dioksidas (CO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), metanas (CH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), azoto suboksidas (N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O), hidrofluorangliavandeniliai (HFC), perfluorangliavandeniliai (PFC) ir sieros heksafluoridas (SF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).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sz="1400" b="1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ŠESD kiekio pokytis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skirtumas bazinio ŠESD kiekio ir projektinio ŠESD kiekio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per vertinamą laikotarpį.</a:t>
          </a:r>
          <a:endParaRPr kumimoji="0" lang="en-US" sz="1400" b="0" i="0" u="none" strike="noStrike" kern="0" cap="none" spc="0" normalizeH="0" baseline="0" noProof="0">
            <a:ln>
              <a:noFill/>
            </a:ln>
            <a:solidFill>
              <a:srgbClr val="F4FAF6">
                <a:lumMod val="25000"/>
              </a:srgb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eaLnBrk="1" fontAlgn="auto" latinLnBrk="0" hangingPunct="1">
            <a:lnSpc>
              <a:spcPct val="150000"/>
            </a:lnSpc>
          </a:pPr>
          <a:endParaRPr lang="en-US" sz="1400" b="0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/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0</xdr:col>
      <xdr:colOff>412751</xdr:colOff>
      <xdr:row>39</xdr:row>
      <xdr:rowOff>190500</xdr:rowOff>
    </xdr:from>
    <xdr:to>
      <xdr:col>3</xdr:col>
      <xdr:colOff>296643</xdr:colOff>
      <xdr:row>48</xdr:row>
      <xdr:rowOff>32367</xdr:rowOff>
    </xdr:to>
    <xdr:grpSp>
      <xdr:nvGrpSpPr>
        <xdr:cNvPr id="21" name="Grupė 16">
          <a:extLst>
            <a:ext uri="{FF2B5EF4-FFF2-40B4-BE49-F238E27FC236}">
              <a16:creationId xmlns:a16="http://schemas.microsoft.com/office/drawing/2014/main" id="{32D2396E-23C8-45B5-93AA-D77154337E3C}"/>
            </a:ext>
          </a:extLst>
        </xdr:cNvPr>
        <xdr:cNvGrpSpPr/>
      </xdr:nvGrpSpPr>
      <xdr:grpSpPr>
        <a:xfrm>
          <a:off x="412751" y="7715250"/>
          <a:ext cx="1717455" cy="1540492"/>
          <a:chOff x="335643" y="7955643"/>
          <a:chExt cx="1717455" cy="1540492"/>
        </a:xfrm>
      </xdr:grpSpPr>
      <xdr:sp macro="" textlink="">
        <xdr:nvSpPr>
          <xdr:cNvPr id="22" name="TextBox 17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FAA8AEAF-8DB2-6E99-1381-6C320E0F5062}"/>
              </a:ext>
            </a:extLst>
          </xdr:cNvPr>
          <xdr:cNvSpPr txBox="1"/>
        </xdr:nvSpPr>
        <xdr:spPr>
          <a:xfrm>
            <a:off x="335643" y="8817602"/>
            <a:ext cx="1717455" cy="6785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lt-LT" sz="1100">
                <a:solidFill>
                  <a:srgbClr val="808080"/>
                </a:solidFill>
              </a:rPr>
              <a:t>https://aaa.lrv.lt/lt/veiklos-sritys/teisekuros-poveikio-vertinimas/</a:t>
            </a:r>
          </a:p>
        </xdr:txBody>
      </xdr:sp>
      <xdr:pic>
        <xdr:nvPicPr>
          <xdr:cNvPr id="23" name="Paveikslėlis 18">
            <a:extLst>
              <a:ext uri="{FF2B5EF4-FFF2-40B4-BE49-F238E27FC236}">
                <a16:creationId xmlns:a16="http://schemas.microsoft.com/office/drawing/2014/main" id="{251A35B9-5A93-89C2-6623-5CEE2C62EF03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16054"/>
          <a:stretch/>
        </xdr:blipFill>
        <xdr:spPr>
          <a:xfrm>
            <a:off x="662215" y="7955643"/>
            <a:ext cx="783866" cy="743857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163285</xdr:colOff>
      <xdr:row>1</xdr:row>
      <xdr:rowOff>0</xdr:rowOff>
    </xdr:from>
    <xdr:to>
      <xdr:col>15</xdr:col>
      <xdr:colOff>1158720</xdr:colOff>
      <xdr:row>3</xdr:row>
      <xdr:rowOff>72413</xdr:rowOff>
    </xdr:to>
    <xdr:sp macro="" textlink="">
      <xdr:nvSpPr>
        <xdr:cNvPr id="26" name="Stačiakampis: suapvalinti kampai 25">
          <a:extLst>
            <a:ext uri="{FF2B5EF4-FFF2-40B4-BE49-F238E27FC236}">
              <a16:creationId xmlns:a16="http://schemas.microsoft.com/office/drawing/2014/main" id="{8DA945DB-DC86-4F4E-89C9-053F2919F905}"/>
            </a:ext>
          </a:extLst>
        </xdr:cNvPr>
        <xdr:cNvSpPr/>
      </xdr:nvSpPr>
      <xdr:spPr>
        <a:xfrm rot="5400000">
          <a:off x="6174696" y="1348239"/>
          <a:ext cx="491513" cy="7637535"/>
        </a:xfrm>
        <a:prstGeom prst="roundRect">
          <a:avLst>
            <a:gd name="adj" fmla="val 18348"/>
          </a:avLst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4</xdr:col>
      <xdr:colOff>208394</xdr:colOff>
      <xdr:row>1</xdr:row>
      <xdr:rowOff>46108</xdr:rowOff>
    </xdr:from>
    <xdr:to>
      <xdr:col>14</xdr:col>
      <xdr:colOff>458561</xdr:colOff>
      <xdr:row>3</xdr:row>
      <xdr:rowOff>19742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87DD11A-C80F-44A8-9BBE-D601B1C5D5C8}"/>
            </a:ext>
          </a:extLst>
        </xdr:cNvPr>
        <xdr:cNvSpPr txBox="1"/>
      </xdr:nvSpPr>
      <xdr:spPr>
        <a:xfrm>
          <a:off x="2646794" y="4967358"/>
          <a:ext cx="6282667" cy="392734"/>
        </a:xfrm>
        <a:prstGeom prst="rect">
          <a:avLst/>
        </a:prstGeom>
        <a:solidFill>
          <a:schemeClr val="accen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lt-LT" sz="1200" b="0">
              <a:ln>
                <a:noFill/>
              </a:ln>
              <a:solidFill>
                <a:schemeClr val="bg2">
                  <a:lumMod val="25000"/>
                </a:schemeClr>
              </a:solidFill>
              <a:effectLst/>
            </a:rPr>
            <a:t>NAUDOJIMOSI</a:t>
          </a:r>
          <a:r>
            <a:rPr lang="lt-LT" sz="1200" b="0" baseline="0">
              <a:ln>
                <a:noFill/>
              </a:ln>
              <a:solidFill>
                <a:schemeClr val="bg2">
                  <a:lumMod val="25000"/>
                </a:schemeClr>
              </a:solidFill>
              <a:effectLst/>
            </a:rPr>
            <a:t> INSTRUKCIJA</a:t>
          </a:r>
          <a:endParaRPr lang="lt-LT" sz="1200" b="0">
            <a:ln>
              <a:noFill/>
            </a:ln>
            <a:solidFill>
              <a:schemeClr val="bg2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4</xdr:col>
      <xdr:colOff>130876</xdr:colOff>
      <xdr:row>4</xdr:row>
      <xdr:rowOff>34224</xdr:rowOff>
    </xdr:from>
    <xdr:to>
      <xdr:col>15</xdr:col>
      <xdr:colOff>1199490</xdr:colOff>
      <xdr:row>27</xdr:row>
      <xdr:rowOff>119062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1912A644-90F4-46F0-AD71-98DA00D5E7BF}"/>
            </a:ext>
          </a:extLst>
        </xdr:cNvPr>
        <xdr:cNvSpPr txBox="1"/>
      </xdr:nvSpPr>
      <xdr:spPr>
        <a:xfrm>
          <a:off x="2569276" y="5558724"/>
          <a:ext cx="7710714" cy="4371088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00000"/>
            </a:lnSpc>
            <a:spcAft>
              <a:spcPts val="500"/>
            </a:spcAft>
          </a:pPr>
          <a:r>
            <a:rPr lang="lt-LT" sz="1100" b="1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Skaičiuoklės naudotojai pildo tik balta arba melsva spalva nuspalvintus duomenų laukelius. </a:t>
          </a:r>
          <a:endParaRPr lang="lt-LT" sz="1100" kern="100">
            <a:solidFill>
              <a:srgbClr val="80808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00000"/>
            </a:lnSpc>
            <a:spcAft>
              <a:spcPts val="500"/>
            </a:spcAft>
          </a:pP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Nurodytais žingsniais, nuosekliai užpildomas kiekvienas duomenų laukelis: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1.  Įvedama bazinė gyvulių populiacija.</a:t>
          </a:r>
          <a:r>
            <a:rPr lang="lt-LT" sz="1100" kern="100" baseline="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Bazinei gyvulių populiacijai įvesti galima pasinaudoti  sumodeliuota bazinę prognozuojamą gyvulių populiaciją.</a:t>
          </a:r>
          <a:endParaRPr lang="lt-LT" sz="1100" kern="100">
            <a:solidFill>
              <a:srgbClr val="80808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00000"/>
            </a:lnSpc>
            <a:spcAft>
              <a:spcPts val="500"/>
            </a:spcAft>
          </a:pPr>
          <a:r>
            <a:rPr lang="en-GB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</a:t>
          </a: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. Nusistatoma modeliuojamų gyvulių rūšis: iš pateikto išsiskleidžiančio sąrašo, pasirenkama gyvulių rūšis, kurios poluliacija</a:t>
          </a:r>
          <a:r>
            <a:rPr lang="lt-LT" sz="1100" kern="100" baseline="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kis. </a:t>
          </a:r>
          <a:endParaRPr lang="en-GB" sz="1100" kern="100" baseline="0">
            <a:solidFill>
              <a:srgbClr val="80808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00000"/>
            </a:lnSpc>
            <a:spcAft>
              <a:spcPts val="500"/>
            </a:spcAft>
          </a:pPr>
          <a:r>
            <a:rPr lang="en-GB" sz="1100" kern="100" baseline="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3.  1 ir 2  </a:t>
          </a:r>
          <a:r>
            <a:rPr lang="lt-LT" sz="1100" kern="100" baseline="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žingsnis kartojamas, jei norima sužinoti, kaip  kis kelių rūšių gyvulių populiaciją. </a:t>
          </a:r>
        </a:p>
        <a:p>
          <a:pPr>
            <a:lnSpc>
              <a:spcPct val="100000"/>
            </a:lnSpc>
            <a:spcAft>
              <a:spcPts val="500"/>
            </a:spcAft>
          </a:pP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4. Pagal 1– </a:t>
          </a:r>
          <a:r>
            <a:rPr lang="en-GB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3</a:t>
          </a:r>
          <a:r>
            <a:rPr lang="en-GB" sz="1100" kern="100" baseline="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žingsniuose pateiktus duomenis, skaičiuoklės automatiškai sumodeliuojami ir naudotojui pateikiamas numatomo teisinio reguliavimo poveikio rezultatas:</a:t>
          </a:r>
        </a:p>
        <a:p>
          <a:pPr marL="457200" indent="365760">
            <a:lnSpc>
              <a:spcPct val="100000"/>
            </a:lnSpc>
            <a:spcAft>
              <a:spcPts val="500"/>
            </a:spcAft>
          </a:pP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4.1. Metinis</a:t>
          </a:r>
          <a:r>
            <a:rPr lang="lt-LT" sz="1100" kern="100" baseline="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b</a:t>
          </a: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azinio ŠESD kiekio</a:t>
          </a:r>
          <a:r>
            <a:rPr lang="lt-LT" sz="1100" kern="100" baseline="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sumažinimas</a:t>
          </a:r>
          <a:endParaRPr lang="lt-LT" sz="1100" kern="100">
            <a:solidFill>
              <a:srgbClr val="80808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457200" indent="365760">
            <a:lnSpc>
              <a:spcPct val="100000"/>
            </a:lnSpc>
            <a:spcAft>
              <a:spcPts val="500"/>
            </a:spcAft>
          </a:pP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4.2. viso analizuoto laikotarpio suminis </a:t>
          </a:r>
          <a:r>
            <a:rPr lang="lt-LT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azinio ŠESD kiekio</a:t>
          </a:r>
          <a:r>
            <a:rPr lang="lt-LT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sumažinimas.</a:t>
          </a:r>
          <a:endParaRPr lang="lt-LT" sz="1100" kern="100" baseline="0">
            <a:solidFill>
              <a:srgbClr val="80808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indent="0">
            <a:lnSpc>
              <a:spcPct val="100000"/>
            </a:lnSpc>
            <a:spcAft>
              <a:spcPts val="500"/>
            </a:spcAft>
          </a:pP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5. Jei </a:t>
          </a:r>
          <a:r>
            <a:rPr lang="lt-LT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teisėkūros iniciatyvos poveikis </a:t>
          </a: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reikšmingai neigiamas, ŠESD kiekio sumažinimo</a:t>
          </a:r>
          <a:r>
            <a:rPr lang="lt-LT" sz="1100" kern="100" baseline="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reikšmės </a:t>
          </a:r>
          <a:r>
            <a:rPr lang="lt-LT" sz="110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duomenų laukelis automatiškai yra nuspalvinamas tamsiai žalia spalva, naudotojui indikuojančia apie rekomenduojamą teisėkūros iniciatyvos peržiūrą</a:t>
          </a:r>
          <a:r>
            <a:rPr lang="lt-LT" sz="1100" kern="100" baseline="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ir koregavimą</a:t>
          </a:r>
          <a:endParaRPr lang="lt-LT" sz="1100" kern="100">
            <a:solidFill>
              <a:srgbClr val="80808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00000"/>
            </a:lnSpc>
            <a:spcAft>
              <a:spcPts val="500"/>
            </a:spcAft>
          </a:pPr>
          <a:endParaRPr lang="lt-LT" sz="1100" b="1" kern="100">
            <a:solidFill>
              <a:srgbClr val="80808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00000"/>
            </a:lnSpc>
            <a:spcAft>
              <a:spcPts val="500"/>
            </a:spcAft>
          </a:pPr>
          <a:r>
            <a:rPr lang="lt-LT" sz="1100" b="1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Rezultatų vertinimas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lang="lt-LT" sz="1100" b="0" kern="100">
              <a:solidFill>
                <a:srgbClr val="80808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1. </a:t>
          </a:r>
          <a:r>
            <a:rPr lang="lt-LT" sz="1100" b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Skaičiuoklės rezultatai yra </a:t>
          </a:r>
          <a:r>
            <a:rPr lang="en-US" sz="1100" b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apytiksliai</a:t>
          </a:r>
          <a:r>
            <a:rPr lang="lt-LT" sz="1100" b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.</a:t>
          </a:r>
          <a:endParaRPr lang="lt-LT" sz="1100" b="0" kern="100">
            <a:solidFill>
              <a:srgbClr val="80808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spcAft>
              <a:spcPts val="400"/>
            </a:spcAft>
          </a:pP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2. Teigiama </a:t>
          </a:r>
          <a:r>
            <a:rPr lang="lt-LT" sz="1100" b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bazinio</a:t>
          </a: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ŠESD  kiekio sumažinimo reikšmė žymi</a:t>
          </a:r>
          <a:r>
            <a:rPr lang="lt-LT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teigiamą teisėkūros iniciatyvos poveikį klimato kaitos švelninimui.</a:t>
          </a:r>
          <a:endParaRPr lang="lt-LT" sz="1100">
            <a:solidFill>
              <a:srgbClr val="80808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3. Neigiama </a:t>
          </a:r>
          <a:r>
            <a:rPr lang="lt-LT" sz="1100" b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bazinio</a:t>
          </a: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ŠESD  kiekio sumažinimo reikšmė žymi</a:t>
          </a:r>
          <a:r>
            <a:rPr lang="lt-LT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neigiamą teisėkūros iniciatyvos poveikį klimato kaitos švelninimui.</a:t>
          </a:r>
          <a:endParaRPr lang="lt-LT" sz="1100">
            <a:solidFill>
              <a:srgbClr val="80808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4. Jei  ŠESD kiekio sumažinimo reikšmė</a:t>
          </a:r>
          <a:r>
            <a:rPr lang="lt-LT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&lt; </a:t>
          </a:r>
          <a:r>
            <a:rPr lang="en-US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0</a:t>
          </a:r>
          <a:r>
            <a:rPr lang="en-US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kt CO</a:t>
          </a:r>
          <a:r>
            <a:rPr lang="en-US" sz="1100" baseline="-250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n-US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ekv./metus, laikoma</a:t>
          </a:r>
          <a:r>
            <a:rPr lang="lt-LT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en-US" sz="110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 kad </a:t>
          </a:r>
          <a:r>
            <a:rPr lang="lt-LT" sz="1100" baseline="0">
              <a:solidFill>
                <a:srgbClr val="808080"/>
              </a:solidFill>
              <a:effectLst/>
              <a:latin typeface="+mn-lt"/>
              <a:ea typeface="+mn-ea"/>
              <a:cs typeface="+mn-cs"/>
            </a:rPr>
            <a:t>teisėkūros iniciatyvos poveikis klimato kaitos švelninimui yra reikšmingai neigiamas.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endParaRPr lang="lt-LT">
            <a:solidFill>
              <a:srgbClr val="808080"/>
            </a:solidFill>
            <a:effectLst/>
          </a:endParaRPr>
        </a:p>
        <a:p>
          <a:pPr>
            <a:spcAft>
              <a:spcPts val="400"/>
            </a:spcAft>
          </a:pPr>
          <a:endParaRPr lang="lt-LT">
            <a:solidFill>
              <a:srgbClr val="808080"/>
            </a:solidFill>
            <a:effectLst/>
          </a:endParaRPr>
        </a:p>
      </xdr:txBody>
    </xdr:sp>
    <xdr:clientData/>
  </xdr:twoCellAnchor>
  <xdr:twoCellAnchor>
    <xdr:from>
      <xdr:col>0</xdr:col>
      <xdr:colOff>204107</xdr:colOff>
      <xdr:row>0</xdr:row>
      <xdr:rowOff>163285</xdr:rowOff>
    </xdr:from>
    <xdr:to>
      <xdr:col>3</xdr:col>
      <xdr:colOff>310414</xdr:colOff>
      <xdr:row>57</xdr:row>
      <xdr:rowOff>83032</xdr:rowOff>
    </xdr:to>
    <xdr:sp macro="" textlink="">
      <xdr:nvSpPr>
        <xdr:cNvPr id="15" name="Stačiakampis: suapvalinti kampai 4">
          <a:extLst>
            <a:ext uri="{FF2B5EF4-FFF2-40B4-BE49-F238E27FC236}">
              <a16:creationId xmlns:a16="http://schemas.microsoft.com/office/drawing/2014/main" id="{C80C3569-089D-405B-AA9A-67A8B7579964}"/>
            </a:ext>
          </a:extLst>
        </xdr:cNvPr>
        <xdr:cNvSpPr/>
      </xdr:nvSpPr>
      <xdr:spPr>
        <a:xfrm>
          <a:off x="204107" y="163285"/>
          <a:ext cx="1807200" cy="10887104"/>
        </a:xfrm>
        <a:prstGeom prst="roundRect">
          <a:avLst>
            <a:gd name="adj" fmla="val 4546"/>
          </a:avLst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0</xdr:col>
      <xdr:colOff>419001</xdr:colOff>
      <xdr:row>1</xdr:row>
      <xdr:rowOff>145790</xdr:rowOff>
    </xdr:from>
    <xdr:to>
      <xdr:col>3</xdr:col>
      <xdr:colOff>96135</xdr:colOff>
      <xdr:row>4</xdr:row>
      <xdr:rowOff>110247</xdr:rowOff>
    </xdr:to>
    <xdr:pic>
      <xdr:nvPicPr>
        <xdr:cNvPr id="16" name="Paveikslėlis 2">
          <a:extLst>
            <a:ext uri="{FF2B5EF4-FFF2-40B4-BE49-F238E27FC236}">
              <a16:creationId xmlns:a16="http://schemas.microsoft.com/office/drawing/2014/main" id="{4BB851CF-F12D-4F2D-883B-A403DA858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001" y="390719"/>
          <a:ext cx="1378027" cy="590385"/>
        </a:xfrm>
        <a:prstGeom prst="rect">
          <a:avLst/>
        </a:prstGeom>
      </xdr:spPr>
    </xdr:pic>
    <xdr:clientData/>
  </xdr:twoCellAnchor>
  <xdr:twoCellAnchor editAs="oneCell">
    <xdr:from>
      <xdr:col>1</xdr:col>
      <xdr:colOff>491118</xdr:colOff>
      <xdr:row>28</xdr:row>
      <xdr:rowOff>155603</xdr:rowOff>
    </xdr:from>
    <xdr:to>
      <xdr:col>2</xdr:col>
      <xdr:colOff>128036</xdr:colOff>
      <xdr:row>31</xdr:row>
      <xdr:rowOff>28602</xdr:rowOff>
    </xdr:to>
    <xdr:pic>
      <xdr:nvPicPr>
        <xdr:cNvPr id="17" name="Grafinis elementas 6" descr="Envelope outline">
          <a:extLst>
            <a:ext uri="{FF2B5EF4-FFF2-40B4-BE49-F238E27FC236}">
              <a16:creationId xmlns:a16="http://schemas.microsoft.com/office/drawing/2014/main" id="{7E78519C-CEFB-4C4F-B8F6-F3CD1C4F6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912939" y="5598460"/>
          <a:ext cx="494168" cy="444499"/>
        </a:xfrm>
        <a:prstGeom prst="rect">
          <a:avLst/>
        </a:prstGeom>
      </xdr:spPr>
    </xdr:pic>
    <xdr:clientData/>
  </xdr:twoCellAnchor>
  <xdr:twoCellAnchor>
    <xdr:from>
      <xdr:col>1</xdr:col>
      <xdr:colOff>262365</xdr:colOff>
      <xdr:row>31</xdr:row>
      <xdr:rowOff>689</xdr:rowOff>
    </xdr:from>
    <xdr:to>
      <xdr:col>3</xdr:col>
      <xdr:colOff>301942</xdr:colOff>
      <xdr:row>32</xdr:row>
      <xdr:rowOff>75671</xdr:rowOff>
    </xdr:to>
    <xdr:sp macro="" textlink="">
      <xdr:nvSpPr>
        <xdr:cNvPr id="18" name="TextBox 11">
          <a:extLst>
            <a:ext uri="{FF2B5EF4-FFF2-40B4-BE49-F238E27FC236}">
              <a16:creationId xmlns:a16="http://schemas.microsoft.com/office/drawing/2014/main" id="{B476309C-DEF9-4826-845F-16A4FFD537AA}"/>
            </a:ext>
          </a:extLst>
        </xdr:cNvPr>
        <xdr:cNvSpPr txBox="1"/>
      </xdr:nvSpPr>
      <xdr:spPr>
        <a:xfrm>
          <a:off x="684186" y="6015046"/>
          <a:ext cx="1318649" cy="265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 editAs="oneCell">
    <xdr:from>
      <xdr:col>1</xdr:col>
      <xdr:colOff>555153</xdr:colOff>
      <xdr:row>34</xdr:row>
      <xdr:rowOff>92879</xdr:rowOff>
    </xdr:from>
    <xdr:to>
      <xdr:col>2</xdr:col>
      <xdr:colOff>44679</xdr:colOff>
      <xdr:row>36</xdr:row>
      <xdr:rowOff>99475</xdr:rowOff>
    </xdr:to>
    <xdr:pic>
      <xdr:nvPicPr>
        <xdr:cNvPr id="19" name="Grafinis elementas 8" descr="Receiver outline">
          <a:extLst>
            <a:ext uri="{FF2B5EF4-FFF2-40B4-BE49-F238E27FC236}">
              <a16:creationId xmlns:a16="http://schemas.microsoft.com/office/drawing/2014/main" id="{363ECA23-B0FF-4A02-AC63-9538DEC4D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976974" y="6678736"/>
          <a:ext cx="346776" cy="387596"/>
        </a:xfrm>
        <a:prstGeom prst="rect">
          <a:avLst/>
        </a:prstGeom>
      </xdr:spPr>
    </xdr:pic>
    <xdr:clientData/>
  </xdr:twoCellAnchor>
  <xdr:twoCellAnchor editAs="oneCell">
    <xdr:from>
      <xdr:col>1</xdr:col>
      <xdr:colOff>376197</xdr:colOff>
      <xdr:row>40</xdr:row>
      <xdr:rowOff>116586</xdr:rowOff>
    </xdr:from>
    <xdr:to>
      <xdr:col>2</xdr:col>
      <xdr:colOff>330428</xdr:colOff>
      <xdr:row>45</xdr:row>
      <xdr:rowOff>52480</xdr:rowOff>
    </xdr:to>
    <xdr:pic>
      <xdr:nvPicPr>
        <xdr:cNvPr id="20" name="Paveikslėlis 9">
          <a:extLst>
            <a:ext uri="{FF2B5EF4-FFF2-40B4-BE49-F238E27FC236}">
              <a16:creationId xmlns:a16="http://schemas.microsoft.com/office/drawing/2014/main" id="{FA266A30-4DC2-4888-B10B-E8CE7BC72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8018" y="7845443"/>
          <a:ext cx="811481" cy="888394"/>
        </a:xfrm>
        <a:prstGeom prst="rect">
          <a:avLst/>
        </a:prstGeom>
      </xdr:spPr>
    </xdr:pic>
    <xdr:clientData/>
  </xdr:twoCellAnchor>
  <xdr:twoCellAnchor>
    <xdr:from>
      <xdr:col>1</xdr:col>
      <xdr:colOff>182578</xdr:colOff>
      <xdr:row>36</xdr:row>
      <xdr:rowOff>142122</xdr:rowOff>
    </xdr:from>
    <xdr:to>
      <xdr:col>3</xdr:col>
      <xdr:colOff>222155</xdr:colOff>
      <xdr:row>38</xdr:row>
      <xdr:rowOff>16090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96566E2-1D8E-4B03-A85B-716FEB2D05EF}"/>
            </a:ext>
          </a:extLst>
        </xdr:cNvPr>
        <xdr:cNvSpPr txBox="1"/>
      </xdr:nvSpPr>
      <xdr:spPr>
        <a:xfrm>
          <a:off x="604399" y="7108979"/>
          <a:ext cx="1318649" cy="2549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1</xdr:col>
      <xdr:colOff>60113</xdr:colOff>
      <xdr:row>45</xdr:row>
      <xdr:rowOff>73961</xdr:rowOff>
    </xdr:from>
    <xdr:to>
      <xdr:col>3</xdr:col>
      <xdr:colOff>342357</xdr:colOff>
      <xdr:row>47</xdr:row>
      <xdr:rowOff>32933</xdr:rowOff>
    </xdr:to>
    <xdr:sp macro="" textlink="">
      <xdr:nvSpPr>
        <xdr:cNvPr id="22" name="TextBox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F4FE34D-6A5F-49A3-85A1-B5896D9D7FAA}"/>
            </a:ext>
          </a:extLst>
        </xdr:cNvPr>
        <xdr:cNvSpPr txBox="1"/>
      </xdr:nvSpPr>
      <xdr:spPr>
        <a:xfrm>
          <a:off x="481934" y="8755318"/>
          <a:ext cx="1561316" cy="339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https://www.gamta.lt/</a:t>
          </a:r>
        </a:p>
      </xdr:txBody>
    </xdr:sp>
    <xdr:clientData/>
  </xdr:twoCellAnchor>
  <xdr:twoCellAnchor>
    <xdr:from>
      <xdr:col>0</xdr:col>
      <xdr:colOff>373080</xdr:colOff>
      <xdr:row>7</xdr:row>
      <xdr:rowOff>69424</xdr:rowOff>
    </xdr:from>
    <xdr:to>
      <xdr:col>3</xdr:col>
      <xdr:colOff>155387</xdr:colOff>
      <xdr:row>11</xdr:row>
      <xdr:rowOff>2011</xdr:rowOff>
    </xdr:to>
    <xdr:pic>
      <xdr:nvPicPr>
        <xdr:cNvPr id="24" name="Picture 1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4F2BD8D9-C897-4E8C-B482-2DF5C332C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73080" y="1511781"/>
          <a:ext cx="1483200" cy="694587"/>
        </a:xfrm>
        <a:prstGeom prst="rect">
          <a:avLst/>
        </a:prstGeom>
      </xdr:spPr>
    </xdr:pic>
    <xdr:clientData/>
  </xdr:twoCellAnchor>
  <xdr:twoCellAnchor editAs="oneCell">
    <xdr:from>
      <xdr:col>0</xdr:col>
      <xdr:colOff>373078</xdr:colOff>
      <xdr:row>12</xdr:row>
      <xdr:rowOff>69423</xdr:rowOff>
    </xdr:from>
    <xdr:to>
      <xdr:col>3</xdr:col>
      <xdr:colOff>155385</xdr:colOff>
      <xdr:row>15</xdr:row>
      <xdr:rowOff>178577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B48A2313-853C-463B-B46A-2A3CC7AED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078" y="2464280"/>
          <a:ext cx="1483200" cy="6901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386685</xdr:colOff>
      <xdr:row>17</xdr:row>
      <xdr:rowOff>69425</xdr:rowOff>
    </xdr:from>
    <xdr:to>
      <xdr:col>3</xdr:col>
      <xdr:colOff>168992</xdr:colOff>
      <xdr:row>21</xdr:row>
      <xdr:rowOff>2376</xdr:rowOff>
    </xdr:to>
    <xdr:pic>
      <xdr:nvPicPr>
        <xdr:cNvPr id="29" name="Picture 6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ACFFB4C5-26C9-4D5B-A7E1-3D0A75F20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86685" y="3416782"/>
          <a:ext cx="1483200" cy="694951"/>
        </a:xfrm>
        <a:prstGeom prst="rect">
          <a:avLst/>
        </a:prstGeom>
      </xdr:spPr>
    </xdr:pic>
    <xdr:clientData/>
  </xdr:twoCellAnchor>
  <xdr:twoCellAnchor>
    <xdr:from>
      <xdr:col>0</xdr:col>
      <xdr:colOff>386685</xdr:colOff>
      <xdr:row>22</xdr:row>
      <xdr:rowOff>69424</xdr:rowOff>
    </xdr:from>
    <xdr:to>
      <xdr:col>3</xdr:col>
      <xdr:colOff>168992</xdr:colOff>
      <xdr:row>26</xdr:row>
      <xdr:rowOff>394</xdr:rowOff>
    </xdr:to>
    <xdr:pic>
      <xdr:nvPicPr>
        <xdr:cNvPr id="30" name="Picture 6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68284A52-83DF-4CDB-ADE1-2A695C18F2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86685" y="4369281"/>
          <a:ext cx="1483200" cy="6929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155122</xdr:rowOff>
    </xdr:from>
    <xdr:to>
      <xdr:col>3</xdr:col>
      <xdr:colOff>225667</xdr:colOff>
      <xdr:row>77</xdr:row>
      <xdr:rowOff>82826</xdr:rowOff>
    </xdr:to>
    <xdr:sp macro="" textlink="">
      <xdr:nvSpPr>
        <xdr:cNvPr id="20" name="Stačiakampis: suapvalinti kampai 5">
          <a:extLst>
            <a:ext uri="{FF2B5EF4-FFF2-40B4-BE49-F238E27FC236}">
              <a16:creationId xmlns:a16="http://schemas.microsoft.com/office/drawing/2014/main" id="{5322D483-4827-4823-BE78-EDC003ED84A9}"/>
            </a:ext>
          </a:extLst>
        </xdr:cNvPr>
        <xdr:cNvSpPr/>
      </xdr:nvSpPr>
      <xdr:spPr>
        <a:xfrm>
          <a:off x="200025" y="155122"/>
          <a:ext cx="1958251" cy="14100168"/>
        </a:xfrm>
        <a:prstGeom prst="roundRect">
          <a:avLst>
            <a:gd name="adj" fmla="val 4546"/>
          </a:avLst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0</xdr:col>
      <xdr:colOff>395354</xdr:colOff>
      <xdr:row>2</xdr:row>
      <xdr:rowOff>34783</xdr:rowOff>
    </xdr:from>
    <xdr:to>
      <xdr:col>2</xdr:col>
      <xdr:colOff>568282</xdr:colOff>
      <xdr:row>5</xdr:row>
      <xdr:rowOff>64617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0821440C-CE91-4147-8E08-1411DB33C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354" y="403083"/>
          <a:ext cx="1455628" cy="582284"/>
        </a:xfrm>
        <a:prstGeom prst="rect">
          <a:avLst/>
        </a:prstGeom>
      </xdr:spPr>
    </xdr:pic>
    <xdr:clientData/>
  </xdr:twoCellAnchor>
  <xdr:twoCellAnchor>
    <xdr:from>
      <xdr:col>0</xdr:col>
      <xdr:colOff>579835</xdr:colOff>
      <xdr:row>30</xdr:row>
      <xdr:rowOff>182870</xdr:rowOff>
    </xdr:from>
    <xdr:to>
      <xdr:col>3</xdr:col>
      <xdr:colOff>56522</xdr:colOff>
      <xdr:row>32</xdr:row>
      <xdr:rowOff>57262</xdr:rowOff>
    </xdr:to>
    <xdr:sp macro="" textlink="">
      <xdr:nvSpPr>
        <xdr:cNvPr id="4" name="TextBox 28">
          <a:extLst>
            <a:ext uri="{FF2B5EF4-FFF2-40B4-BE49-F238E27FC236}">
              <a16:creationId xmlns:a16="http://schemas.microsoft.com/office/drawing/2014/main" id="{3D359186-DBD5-425D-89EC-C931397D0773}"/>
            </a:ext>
          </a:extLst>
        </xdr:cNvPr>
        <xdr:cNvSpPr txBox="1"/>
      </xdr:nvSpPr>
      <xdr:spPr>
        <a:xfrm>
          <a:off x="579835" y="5707370"/>
          <a:ext cx="1400737" cy="2426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1</xdr:col>
      <xdr:colOff>234028</xdr:colOff>
      <xdr:row>35</xdr:row>
      <xdr:rowOff>1309</xdr:rowOff>
    </xdr:from>
    <xdr:to>
      <xdr:col>1</xdr:col>
      <xdr:colOff>584475</xdr:colOff>
      <xdr:row>37</xdr:row>
      <xdr:rowOff>3366</xdr:rowOff>
    </xdr:to>
    <xdr:pic>
      <xdr:nvPicPr>
        <xdr:cNvPr id="5" name="Grafinis elementas 15" descr="Receiver outline">
          <a:extLst>
            <a:ext uri="{FF2B5EF4-FFF2-40B4-BE49-F238E27FC236}">
              <a16:creationId xmlns:a16="http://schemas.microsoft.com/office/drawing/2014/main" id="{74B5D45B-484A-42DD-99B8-8917760BB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75378" y="6446559"/>
          <a:ext cx="350447" cy="370357"/>
        </a:xfrm>
        <a:prstGeom prst="rect">
          <a:avLst/>
        </a:prstGeom>
      </xdr:spPr>
    </xdr:pic>
    <xdr:clientData/>
  </xdr:twoCellAnchor>
  <xdr:twoCellAnchor>
    <xdr:from>
      <xdr:col>0</xdr:col>
      <xdr:colOff>542022</xdr:colOff>
      <xdr:row>37</xdr:row>
      <xdr:rowOff>106381</xdr:rowOff>
    </xdr:from>
    <xdr:to>
      <xdr:col>3</xdr:col>
      <xdr:colOff>18709</xdr:colOff>
      <xdr:row>38</xdr:row>
      <xdr:rowOff>180867</xdr:rowOff>
    </xdr:to>
    <xdr:sp macro="" textlink="">
      <xdr:nvSpPr>
        <xdr:cNvPr id="6" name="TextBox 41">
          <a:extLst>
            <a:ext uri="{FF2B5EF4-FFF2-40B4-BE49-F238E27FC236}">
              <a16:creationId xmlns:a16="http://schemas.microsoft.com/office/drawing/2014/main" id="{A16C1C8B-01E5-4227-97B7-B17F6D9961DB}"/>
            </a:ext>
          </a:extLst>
        </xdr:cNvPr>
        <xdr:cNvSpPr txBox="1"/>
      </xdr:nvSpPr>
      <xdr:spPr>
        <a:xfrm>
          <a:off x="542022" y="6919931"/>
          <a:ext cx="1400737" cy="2586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 editAs="oneCell">
    <xdr:from>
      <xdr:col>1</xdr:col>
      <xdr:colOff>214616</xdr:colOff>
      <xdr:row>28</xdr:row>
      <xdr:rowOff>68883</xdr:rowOff>
    </xdr:from>
    <xdr:to>
      <xdr:col>2</xdr:col>
      <xdr:colOff>129985</xdr:colOff>
      <xdr:row>30</xdr:row>
      <xdr:rowOff>128959</xdr:rowOff>
    </xdr:to>
    <xdr:pic>
      <xdr:nvPicPr>
        <xdr:cNvPr id="8" name="Grafinis elementas 11" descr="Envelope outline">
          <a:extLst>
            <a:ext uri="{FF2B5EF4-FFF2-40B4-BE49-F238E27FC236}">
              <a16:creationId xmlns:a16="http://schemas.microsoft.com/office/drawing/2014/main" id="{9251DF5E-80D0-4B00-9E69-D14BFBACE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855966" y="5225083"/>
          <a:ext cx="524969" cy="428376"/>
        </a:xfrm>
        <a:prstGeom prst="rect">
          <a:avLst/>
        </a:prstGeom>
      </xdr:spPr>
    </xdr:pic>
    <xdr:clientData/>
  </xdr:twoCellAnchor>
  <xdr:twoCellAnchor>
    <xdr:from>
      <xdr:col>4</xdr:col>
      <xdr:colOff>61440</xdr:colOff>
      <xdr:row>2</xdr:row>
      <xdr:rowOff>72330</xdr:rowOff>
    </xdr:from>
    <xdr:to>
      <xdr:col>15</xdr:col>
      <xdr:colOff>289586</xdr:colOff>
      <xdr:row>4</xdr:row>
      <xdr:rowOff>126533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5F57ADA3-426D-45C0-B1FF-BB921B3CE255}"/>
            </a:ext>
          </a:extLst>
        </xdr:cNvPr>
        <xdr:cNvSpPr txBox="1"/>
      </xdr:nvSpPr>
      <xdr:spPr>
        <a:xfrm>
          <a:off x="2626840" y="440630"/>
          <a:ext cx="7282996" cy="4225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US" sz="1600" b="1" baseline="0">
              <a:ln>
                <a:noFill/>
              </a:ln>
              <a:solidFill>
                <a:schemeClr val="bg2">
                  <a:lumMod val="25000"/>
                </a:schemeClr>
              </a:solidFill>
              <a:effectLst/>
            </a:rPr>
            <a:t>SKAI</a:t>
          </a:r>
          <a:r>
            <a:rPr lang="lt-LT" sz="1600" b="1" baseline="0">
              <a:ln>
                <a:noFill/>
              </a:ln>
              <a:solidFill>
                <a:schemeClr val="bg2">
                  <a:lumMod val="25000"/>
                </a:schemeClr>
              </a:solidFill>
              <a:effectLst/>
            </a:rPr>
            <a:t>ČIUOKLĖS NAUDOJIMO INSTRUKCIJA</a:t>
          </a:r>
          <a:endParaRPr lang="lt-LT" sz="1600" b="1">
            <a:ln>
              <a:noFill/>
            </a:ln>
            <a:solidFill>
              <a:schemeClr val="bg2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0</xdr:col>
      <xdr:colOff>394608</xdr:colOff>
      <xdr:row>7</xdr:row>
      <xdr:rowOff>136072</xdr:rowOff>
    </xdr:from>
    <xdr:to>
      <xdr:col>3</xdr:col>
      <xdr:colOff>39100</xdr:colOff>
      <xdr:row>11</xdr:row>
      <xdr:rowOff>69076</xdr:rowOff>
    </xdr:to>
    <xdr:pic macro="[1]!įPradžiąIšAtnaujinimo">
      <xdr:nvPicPr>
        <xdr:cNvPr id="11" name="Picture 1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8EBBEB7-476C-42B0-9D63-8ABAFC5EE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94608" y="1425122"/>
          <a:ext cx="1568542" cy="669604"/>
        </a:xfrm>
        <a:prstGeom prst="rect">
          <a:avLst/>
        </a:prstGeom>
      </xdr:spPr>
    </xdr:pic>
    <xdr:clientData/>
  </xdr:twoCellAnchor>
  <xdr:twoCellAnchor>
    <xdr:from>
      <xdr:col>0</xdr:col>
      <xdr:colOff>394608</xdr:colOff>
      <xdr:row>17</xdr:row>
      <xdr:rowOff>136072</xdr:rowOff>
    </xdr:from>
    <xdr:to>
      <xdr:col>3</xdr:col>
      <xdr:colOff>50640</xdr:colOff>
      <xdr:row>21</xdr:row>
      <xdr:rowOff>69076</xdr:rowOff>
    </xdr:to>
    <xdr:pic macro="[1]!įSkaičiuoklęIšPradžios">
      <xdr:nvPicPr>
        <xdr:cNvPr id="12" name="Picture 1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2D72A1C9-B70A-4D6C-B31B-4666198A6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94608" y="3266622"/>
          <a:ext cx="1580082" cy="669604"/>
        </a:xfrm>
        <a:prstGeom prst="rect">
          <a:avLst/>
        </a:prstGeom>
      </xdr:spPr>
    </xdr:pic>
    <xdr:clientData/>
  </xdr:twoCellAnchor>
  <xdr:twoCellAnchor>
    <xdr:from>
      <xdr:col>0</xdr:col>
      <xdr:colOff>394608</xdr:colOff>
      <xdr:row>22</xdr:row>
      <xdr:rowOff>136072</xdr:rowOff>
    </xdr:from>
    <xdr:to>
      <xdr:col>3</xdr:col>
      <xdr:colOff>50640</xdr:colOff>
      <xdr:row>26</xdr:row>
      <xdr:rowOff>69076</xdr:rowOff>
    </xdr:to>
    <xdr:pic macro="[1]!įAtnaujinimąIšPradžios">
      <xdr:nvPicPr>
        <xdr:cNvPr id="13" name="Picture 1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E0E36E3-D2C7-4FA6-AF0D-953CB0390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394608" y="4187372"/>
          <a:ext cx="1580082" cy="669604"/>
        </a:xfrm>
        <a:prstGeom prst="rect">
          <a:avLst/>
        </a:prstGeom>
      </xdr:spPr>
    </xdr:pic>
    <xdr:clientData/>
  </xdr:twoCellAnchor>
  <xdr:twoCellAnchor editAs="oneCell">
    <xdr:from>
      <xdr:col>0</xdr:col>
      <xdr:colOff>394608</xdr:colOff>
      <xdr:row>12</xdr:row>
      <xdr:rowOff>136072</xdr:rowOff>
    </xdr:from>
    <xdr:to>
      <xdr:col>3</xdr:col>
      <xdr:colOff>149679</xdr:colOff>
      <xdr:row>16</xdr:row>
      <xdr:rowOff>68872</xdr:rowOff>
    </xdr:to>
    <xdr:pic>
      <xdr:nvPicPr>
        <xdr:cNvPr id="14" name="Picture 19">
          <a:extLst>
            <a:ext uri="{FF2B5EF4-FFF2-40B4-BE49-F238E27FC236}">
              <a16:creationId xmlns:a16="http://schemas.microsoft.com/office/drawing/2014/main" id="{D145650D-18E0-40FA-9187-8C47838AE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94608" y="2345872"/>
          <a:ext cx="1583871" cy="669400"/>
        </a:xfrm>
        <a:prstGeom prst="rect">
          <a:avLst/>
        </a:prstGeom>
      </xdr:spPr>
    </xdr:pic>
    <xdr:clientData/>
  </xdr:twoCellAnchor>
  <xdr:twoCellAnchor>
    <xdr:from>
      <xdr:col>4</xdr:col>
      <xdr:colOff>12989</xdr:colOff>
      <xdr:row>7</xdr:row>
      <xdr:rowOff>81230</xdr:rowOff>
    </xdr:from>
    <xdr:to>
      <xdr:col>21</xdr:col>
      <xdr:colOff>460375</xdr:colOff>
      <xdr:row>79</xdr:row>
      <xdr:rowOff>18405</xdr:rowOff>
    </xdr:to>
    <xdr:sp macro="" textlink="">
      <xdr:nvSpPr>
        <xdr:cNvPr id="19" name="Teksto laukas 9">
          <a:extLst>
            <a:ext uri="{FF2B5EF4-FFF2-40B4-BE49-F238E27FC236}">
              <a16:creationId xmlns:a16="http://schemas.microsoft.com/office/drawing/2014/main" id="{59DC650C-0267-4D75-B9DD-D27155A70B7E}"/>
            </a:ext>
            <a:ext uri="{147F2762-F138-4A5C-976F-8EAC2B608ADB}">
              <a16:predDERef xmlns:a16="http://schemas.microsoft.com/office/drawing/2014/main" pred="{082A9F6D-32FF-44FF-8DC9-4D27DC904FAB}"/>
            </a:ext>
          </a:extLst>
        </xdr:cNvPr>
        <xdr:cNvSpPr txBox="1"/>
      </xdr:nvSpPr>
      <xdr:spPr>
        <a:xfrm>
          <a:off x="2589801" y="1369636"/>
          <a:ext cx="11398835" cy="13189349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1. </a:t>
          </a:r>
          <a:r>
            <a:rPr kumimoji="0" lang="lt-LT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Pradiniai veiksmai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Prieš pradėdami naudotis skaičiuokle, atidžiai perskaitykite "Pradžios" lapo informaciją ir metodologinį dokumentą</a:t>
          </a:r>
          <a:r>
            <a:rPr kumimoji="0" lang="en-US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(žr. https://aaa.lrv.lt/lt/veiklos-sritys/teisekuros-poveikio-vertinimas/)</a:t>
          </a:r>
          <a:r>
            <a:rPr kumimoji="0" lang="en-US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, kad geriau suprastumėte naudojamas sąvokas, išmetamo ŠESD kiekio pokyčio skaičiavimo principus ir prielaidas.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Lape „Skaičiuoklė“ susipažinkite su lentelės apačioje esančiais sutartiniais žymėjimais ir pastabomis, kad lengviau suprastumėte skaičiuoklės turinį.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Atidžiai laikykitės toliau pateiktų instrukcijoje pateiktų nurodymų, kad užtikrintumėte teisingą duomenų įvedimą ir rezultatų gavimą. </a:t>
          </a:r>
          <a:endParaRPr kumimoji="0" lang="en-US" sz="1600" b="1" i="0" u="none" strike="noStrike" kern="10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50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2. </a:t>
          </a:r>
          <a:r>
            <a:rPr kumimoji="0" lang="lt-LT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Duomenų įvedimas</a:t>
          </a:r>
          <a:endParaRPr kumimoji="0" lang="en-US" sz="1600" b="1" i="0" u="none" strike="noStrike" kern="10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Bet kuriuo metu galite keisti arba papildyti duomenis, neatsižvelgiant į duomenų įvedimo seką.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Skaičiuoklėje pateikti įvesties duomenys yra pavyzdiniai ir turi būti keičiami pagal pasirinktus tikslus.</a:t>
          </a:r>
          <a:endParaRPr lang="en-US" sz="1400" b="0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kumimoji="0" lang="en-US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Skai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čiuoklę sudaro trijų tipų parametrų duomenys: įvesties, pasirenkami iš išplečiamųjų sąrašų ir numatytosios reikšmės. </a:t>
          </a: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Įvesties ir pasirenkamus iš išplečiamųjų sąrašų parametrų duomenų laukelius </a:t>
          </a:r>
          <a:r>
            <a:rPr kumimoji="0" lang="lt-LT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pildo skaičiuoklės naudotojas 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atsižvelgdamas į teisėkūros iniciatyvos tikslus</a:t>
          </a:r>
          <a:r>
            <a:rPr kumimoji="0" lang="lt-LT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endParaRPr kumimoji="0" lang="lt-LT" sz="1400" b="0" i="0" u="none" strike="noStrike" kern="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6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Numatytosios reikšmės - 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0">
              <a:solidFill>
                <a:schemeClr val="accent3">
                  <a:lumMod val="25000"/>
                </a:schemeClr>
              </a:solidFill>
            </a:rPr>
            <a:t>tai iš anksto apskaičiuotos/nustatytos reikšmės konkrečiam ŠESD</a:t>
          </a:r>
          <a:r>
            <a:rPr lang="en-US" sz="1400" b="0">
              <a:solidFill>
                <a:schemeClr val="accent3">
                  <a:lumMod val="25000"/>
                </a:schemeClr>
              </a:solidFill>
            </a:rPr>
            <a:t> </a:t>
          </a:r>
          <a:r>
            <a:rPr lang="lt-LT" sz="1400" b="0">
              <a:solidFill>
                <a:schemeClr val="accent3">
                  <a:lumMod val="25000"/>
                </a:schemeClr>
              </a:solidFill>
            </a:rPr>
            <a:t>nustatymo algoritmo parametrui, kurios yra naudojamos skaičiavimuose kaip standartinės vertės. </a:t>
          </a:r>
          <a:r>
            <a:rPr lang="lt-LT" sz="1400">
              <a:solidFill>
                <a:schemeClr val="accent3">
                  <a:lumMod val="25000"/>
                </a:schemeClr>
              </a:solidFill>
            </a:rPr>
            <a:t>Šios vertės</a:t>
          </a:r>
          <a:r>
            <a:rPr lang="lt-LT" sz="1400" baseline="0">
              <a:solidFill>
                <a:schemeClr val="accent3">
                  <a:lumMod val="25000"/>
                </a:schemeClr>
              </a:solidFill>
            </a:rPr>
            <a:t> </a:t>
          </a:r>
          <a:r>
            <a:rPr lang="lt-LT" sz="1400">
              <a:solidFill>
                <a:schemeClr val="accent3">
                  <a:lumMod val="25000"/>
                </a:schemeClr>
              </a:solidFill>
            </a:rPr>
            <a:t>negali būti keičiamos skaičiuoklės naudotojo, užtikrinant, kad skaičiuoklės veikimas būtų nuoseklus ir remtųsi patikimais duomenimis. </a:t>
          </a:r>
          <a:endParaRPr lang="en-US" sz="1400">
            <a:solidFill>
              <a:schemeClr val="accent3">
                <a:lumMod val="25000"/>
              </a:schemeClr>
            </a:solidFill>
          </a:endParaRP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6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en-US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Objekto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ir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reguliuojamos veiklos rodiklio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parametrų duomenų įvedimas yra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privalomas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 Duomenis veskite tik į pasirinktų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metų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langelius. Poveikio vertinimo prognozė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galima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skaičiuoklėje nurodytam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laikotarpiui.</a:t>
          </a:r>
          <a:endParaRPr lang="en-US" sz="1400" b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indent="0" eaLnBrk="1" fontAlgn="auto" latinLnBrk="0" hangingPunct="1">
            <a:lnSpc>
              <a:spcPct val="150000"/>
            </a:lnSpc>
            <a:spcBef>
              <a:spcPts val="800"/>
            </a:spcBef>
            <a:buFontTx/>
            <a:buNone/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Objekto parametrai</a:t>
          </a:r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  <a:p>
          <a:pPr marL="284400" indent="-284400" eaLnBrk="1" fontAlgn="auto" latinLnBrk="0" hangingPunct="1"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Gyvulio rūšis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pasirinkite 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gyvulio r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ūšis iš pateiktų išplečiamųjų sąrašų, kurių populiacijas norėsite reguliuoti.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80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Reguliuojamo veiklos rodiklio parametrai</a:t>
          </a:r>
          <a:endParaRPr kumimoji="0" lang="lt-LT" sz="1400" b="1" i="0" u="none" strike="noStrike" kern="10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Bazinė gyvulių populiacija (vnt.): įveskite reikšmę. Kaip pagalbinę priemonę šiems duomenims nustatyti, naudokite skaičiuoklėje pateiktas numatytąsias bazinės gyvulių populiacijos (vnt.) prognozės reikšmes. </a:t>
          </a:r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Projektinė gyvulių populiacija (vnt.): įveskite reikšmę.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50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3. </a:t>
          </a:r>
          <a:r>
            <a:rPr kumimoji="0" lang="lt-LT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Rezultatai ir jų interpretacija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Skaičiuoklė automatiškai apskaičiuoja ŠESD kiekio pokytį, kaupiamąjį ŠESD kiekio pokytį ir suminį ŠESD kiekio pokytį pagal įvesties duomenis.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Šalia skaičiuoklės esantis grafikas vizualiai parodo kaupiamojo ŠESD kiekio pokytį pasirinktu laikotarpiu.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Skaičiuoklės rezultatai yra apytiksliai.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Teigiama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ŠESD kiekio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pokyčio reikšmė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&gt;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0 kt /metus)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rodo, kad analizuojama teisėkūros iniciatyva </a:t>
          </a:r>
          <a:r>
            <a:rPr kumimoji="0" lang="lt-LT" sz="1400" b="1" i="0" u="sng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ŠESD kiekį mažina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( t.y. apskaičiuotas ŠESD kiekis susidaręs iš projektinio veiklos rodiklio yra mažesnis nei susidaręs iš bazinio veiklos rodiklio ). Daroma prielaida, kad teisėkūros iniciatyvos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poveikis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aplinkos oro kokybei yra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teigiamas. 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eigiama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ŠESD kiekio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pokyčio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reikšmė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(&lt;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0 kt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/metus)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rodo, kad analizuojama teisėkūros iniciatyva </a:t>
          </a:r>
          <a:r>
            <a:rPr kumimoji="0" lang="lt-LT" sz="1400" b="1" i="0" u="sng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ŠESD kiekį didina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( t.y. apskaičiuotas ŠESD kiekis susidaręs iš projektinio veiklos rodiklio yra didesnis nei iš bazinio veiklos rodiklio ). Daroma prielaida, kad teisėkūros iniciatyvos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poveikis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aplinkos oro kokybei yra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neigiamas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. 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Jei ŠESD kiekio pokyčių reikšmės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viršija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"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Teis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ėkūros poveikio aplinkai ir klimato kaitai (ex ante) vertinimo tvarkos aprašo" priede nustatytą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ribinę vertę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0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kt/metus)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, laikoma, kad teisėkūros iniciatyvos poveikis klimato kaitos švelninimui yra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reikšmingai neigiamas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. 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Reikšmingai neigiamam teisėkūros iniciatyvos poveikio identifikavimui,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atitinkami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skaičiuoklė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 laukeliai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automatiškai nuspalvinami tamsiai žalia spalva.</a:t>
          </a:r>
          <a:endParaRPr kumimoji="0" lang="lt-LT" sz="1200" b="0" i="0" u="none" strike="noStrike" kern="0" cap="none" spc="0" normalizeH="0" baseline="0" noProof="0">
            <a:ln>
              <a:noFill/>
            </a:ln>
            <a:solidFill>
              <a:srgbClr val="F4FAF6">
                <a:lumMod val="25000"/>
              </a:srgb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lt-LT" sz="1200" b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377319</xdr:colOff>
      <xdr:row>43</xdr:row>
      <xdr:rowOff>156449</xdr:rowOff>
    </xdr:from>
    <xdr:to>
      <xdr:col>3</xdr:col>
      <xdr:colOff>162165</xdr:colOff>
      <xdr:row>52</xdr:row>
      <xdr:rowOff>40420</xdr:rowOff>
    </xdr:to>
    <xdr:grpSp>
      <xdr:nvGrpSpPr>
        <xdr:cNvPr id="21" name="Grupė 14">
          <a:extLst>
            <a:ext uri="{FF2B5EF4-FFF2-40B4-BE49-F238E27FC236}">
              <a16:creationId xmlns:a16="http://schemas.microsoft.com/office/drawing/2014/main" id="{3A2A7473-0B6A-4466-ACA3-5C981EB72FB3}"/>
            </a:ext>
          </a:extLst>
        </xdr:cNvPr>
        <xdr:cNvGrpSpPr/>
      </xdr:nvGrpSpPr>
      <xdr:grpSpPr>
        <a:xfrm>
          <a:off x="377319" y="8070942"/>
          <a:ext cx="1717455" cy="1540492"/>
          <a:chOff x="335643" y="7955643"/>
          <a:chExt cx="1717455" cy="1540492"/>
        </a:xfrm>
      </xdr:grpSpPr>
      <xdr:sp macro="" textlink="">
        <xdr:nvSpPr>
          <xdr:cNvPr id="22" name="TextBox 15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7EFDC50-80AB-9971-0BE9-206D8EE11777}"/>
              </a:ext>
            </a:extLst>
          </xdr:cNvPr>
          <xdr:cNvSpPr txBox="1"/>
        </xdr:nvSpPr>
        <xdr:spPr>
          <a:xfrm>
            <a:off x="335643" y="8817602"/>
            <a:ext cx="1717455" cy="6785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lt-LT" sz="1100">
                <a:solidFill>
                  <a:srgbClr val="808080"/>
                </a:solidFill>
              </a:rPr>
              <a:t>https://aaa.lrv.lt/lt/veiklos-sritys/teisekuros-poveikio-vertinimas/</a:t>
            </a:r>
          </a:p>
        </xdr:txBody>
      </xdr:sp>
      <xdr:pic>
        <xdr:nvPicPr>
          <xdr:cNvPr id="23" name="Paveikslėlis 17">
            <a:extLst>
              <a:ext uri="{FF2B5EF4-FFF2-40B4-BE49-F238E27FC236}">
                <a16:creationId xmlns:a16="http://schemas.microsoft.com/office/drawing/2014/main" id="{E302489E-C875-B648-2009-B124A45D4C9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16054"/>
          <a:stretch/>
        </xdr:blipFill>
        <xdr:spPr>
          <a:xfrm>
            <a:off x="662215" y="7955643"/>
            <a:ext cx="783866" cy="743857"/>
          </a:xfrm>
          <a:prstGeom prst="rect">
            <a:avLst/>
          </a:prstGeom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674077</xdr:colOff>
      <xdr:row>2</xdr:row>
      <xdr:rowOff>29308</xdr:rowOff>
    </xdr:from>
    <xdr:to>
      <xdr:col>69</xdr:col>
      <xdr:colOff>514979</xdr:colOff>
      <xdr:row>19</xdr:row>
      <xdr:rowOff>54429</xdr:rowOff>
    </xdr:to>
    <xdr:sp macro="" textlink="">
      <xdr:nvSpPr>
        <xdr:cNvPr id="3" name="Stačiakampis 2">
          <a:extLst>
            <a:ext uri="{FF2B5EF4-FFF2-40B4-BE49-F238E27FC236}">
              <a16:creationId xmlns:a16="http://schemas.microsoft.com/office/drawing/2014/main" id="{54C1557D-6C64-4F95-9B5F-9D4ECEA9E165}"/>
            </a:ext>
          </a:extLst>
        </xdr:cNvPr>
        <xdr:cNvSpPr/>
      </xdr:nvSpPr>
      <xdr:spPr>
        <a:xfrm>
          <a:off x="13549923" y="390770"/>
          <a:ext cx="4100287" cy="3991428"/>
        </a:xfrm>
        <a:prstGeom prst="rect">
          <a:avLst/>
        </a:prstGeom>
        <a:solidFill>
          <a:srgbClr val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16</xdr:col>
      <xdr:colOff>742462</xdr:colOff>
      <xdr:row>4</xdr:row>
      <xdr:rowOff>136770</xdr:rowOff>
    </xdr:from>
    <xdr:to>
      <xdr:col>69</xdr:col>
      <xdr:colOff>370184</xdr:colOff>
      <xdr:row>17</xdr:row>
      <xdr:rowOff>334575</xdr:rowOff>
    </xdr:to>
    <xdr:graphicFrame macro="">
      <xdr:nvGraphicFramePr>
        <xdr:cNvPr id="4" name="Chart 10">
          <a:extLst>
            <a:ext uri="{FF2B5EF4-FFF2-40B4-BE49-F238E27FC236}">
              <a16:creationId xmlns:a16="http://schemas.microsoft.com/office/drawing/2014/main" id="{2E02098A-FBE8-4D90-99ED-2E70153E24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204106</xdr:colOff>
      <xdr:row>0</xdr:row>
      <xdr:rowOff>149678</xdr:rowOff>
    </xdr:from>
    <xdr:to>
      <xdr:col>3</xdr:col>
      <xdr:colOff>337627</xdr:colOff>
      <xdr:row>52</xdr:row>
      <xdr:rowOff>28603</xdr:rowOff>
    </xdr:to>
    <xdr:sp macro="" textlink="">
      <xdr:nvSpPr>
        <xdr:cNvPr id="6" name="Stačiakampis: suapvalinti kampai 4">
          <a:extLst>
            <a:ext uri="{FF2B5EF4-FFF2-40B4-BE49-F238E27FC236}">
              <a16:creationId xmlns:a16="http://schemas.microsoft.com/office/drawing/2014/main" id="{7A64D755-A27E-4EBA-BB13-8BB442A2759D}"/>
            </a:ext>
          </a:extLst>
        </xdr:cNvPr>
        <xdr:cNvSpPr/>
      </xdr:nvSpPr>
      <xdr:spPr>
        <a:xfrm>
          <a:off x="204106" y="149678"/>
          <a:ext cx="1807200" cy="10887104"/>
        </a:xfrm>
        <a:prstGeom prst="roundRect">
          <a:avLst>
            <a:gd name="adj" fmla="val 4546"/>
          </a:avLst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0</xdr:col>
      <xdr:colOff>419000</xdr:colOff>
      <xdr:row>1</xdr:row>
      <xdr:rowOff>175478</xdr:rowOff>
    </xdr:from>
    <xdr:to>
      <xdr:col>3</xdr:col>
      <xdr:colOff>123348</xdr:colOff>
      <xdr:row>4</xdr:row>
      <xdr:rowOff>73549</xdr:rowOff>
    </xdr:to>
    <xdr:pic>
      <xdr:nvPicPr>
        <xdr:cNvPr id="7" name="Paveikslėlis 2">
          <a:extLst>
            <a:ext uri="{FF2B5EF4-FFF2-40B4-BE49-F238E27FC236}">
              <a16:creationId xmlns:a16="http://schemas.microsoft.com/office/drawing/2014/main" id="{68299207-D60F-43A3-9676-27D4723A0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000" y="337114"/>
          <a:ext cx="1470803" cy="579253"/>
        </a:xfrm>
        <a:prstGeom prst="rect">
          <a:avLst/>
        </a:prstGeom>
      </xdr:spPr>
    </xdr:pic>
    <xdr:clientData/>
  </xdr:twoCellAnchor>
  <xdr:twoCellAnchor editAs="oneCell">
    <xdr:from>
      <xdr:col>1</xdr:col>
      <xdr:colOff>355045</xdr:colOff>
      <xdr:row>26</xdr:row>
      <xdr:rowOff>223639</xdr:rowOff>
    </xdr:from>
    <xdr:to>
      <xdr:col>2</xdr:col>
      <xdr:colOff>297670</xdr:colOff>
      <xdr:row>27</xdr:row>
      <xdr:rowOff>246315</xdr:rowOff>
    </xdr:to>
    <xdr:pic>
      <xdr:nvPicPr>
        <xdr:cNvPr id="8" name="Grafinis elementas 6" descr="Envelope outline">
          <a:extLst>
            <a:ext uri="{FF2B5EF4-FFF2-40B4-BE49-F238E27FC236}">
              <a16:creationId xmlns:a16="http://schemas.microsoft.com/office/drawing/2014/main" id="{161B1D37-21C8-42A5-8EEC-543EBC64A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12938" y="5598460"/>
          <a:ext cx="494168" cy="444499"/>
        </a:xfrm>
        <a:prstGeom prst="rect">
          <a:avLst/>
        </a:prstGeom>
      </xdr:spPr>
    </xdr:pic>
    <xdr:clientData/>
  </xdr:twoCellAnchor>
  <xdr:twoCellAnchor>
    <xdr:from>
      <xdr:col>1</xdr:col>
      <xdr:colOff>126292</xdr:colOff>
      <xdr:row>27</xdr:row>
      <xdr:rowOff>218403</xdr:rowOff>
    </xdr:from>
    <xdr:to>
      <xdr:col>3</xdr:col>
      <xdr:colOff>329155</xdr:colOff>
      <xdr:row>27</xdr:row>
      <xdr:rowOff>483885</xdr:rowOff>
    </xdr:to>
    <xdr:sp macro="" textlink="">
      <xdr:nvSpPr>
        <xdr:cNvPr id="9" name="TextBox 11">
          <a:extLst>
            <a:ext uri="{FF2B5EF4-FFF2-40B4-BE49-F238E27FC236}">
              <a16:creationId xmlns:a16="http://schemas.microsoft.com/office/drawing/2014/main" id="{5B687F3F-38AD-408F-A60F-D02DA886DFEE}"/>
            </a:ext>
          </a:extLst>
        </xdr:cNvPr>
        <xdr:cNvSpPr txBox="1"/>
      </xdr:nvSpPr>
      <xdr:spPr>
        <a:xfrm>
          <a:off x="684185" y="6015046"/>
          <a:ext cx="1318649" cy="265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 editAs="oneCell">
    <xdr:from>
      <xdr:col>1</xdr:col>
      <xdr:colOff>432687</xdr:colOff>
      <xdr:row>29</xdr:row>
      <xdr:rowOff>365022</xdr:rowOff>
    </xdr:from>
    <xdr:to>
      <xdr:col>2</xdr:col>
      <xdr:colOff>221570</xdr:colOff>
      <xdr:row>31</xdr:row>
      <xdr:rowOff>303582</xdr:rowOff>
    </xdr:to>
    <xdr:pic>
      <xdr:nvPicPr>
        <xdr:cNvPr id="10" name="Grafinis elementas 8" descr="Receiver outline">
          <a:extLst>
            <a:ext uri="{FF2B5EF4-FFF2-40B4-BE49-F238E27FC236}">
              <a16:creationId xmlns:a16="http://schemas.microsoft.com/office/drawing/2014/main" id="{DA3F2070-86DA-4DAD-8020-7118DC439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90580" y="6678736"/>
          <a:ext cx="346776" cy="387596"/>
        </a:xfrm>
        <a:prstGeom prst="rect">
          <a:avLst/>
        </a:prstGeom>
      </xdr:spPr>
    </xdr:pic>
    <xdr:clientData/>
  </xdr:twoCellAnchor>
  <xdr:twoCellAnchor>
    <xdr:from>
      <xdr:col>1</xdr:col>
      <xdr:colOff>60112</xdr:colOff>
      <xdr:row>31</xdr:row>
      <xdr:rowOff>346229</xdr:rowOff>
    </xdr:from>
    <xdr:to>
      <xdr:col>3</xdr:col>
      <xdr:colOff>262975</xdr:colOff>
      <xdr:row>31</xdr:row>
      <xdr:rowOff>598714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35D63A3-286C-4791-8862-C51F09ABCE54}"/>
            </a:ext>
          </a:extLst>
        </xdr:cNvPr>
        <xdr:cNvSpPr txBox="1"/>
      </xdr:nvSpPr>
      <xdr:spPr>
        <a:xfrm>
          <a:off x="618005" y="7108979"/>
          <a:ext cx="1318649" cy="2524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0</xdr:col>
      <xdr:colOff>373079</xdr:colOff>
      <xdr:row>6</xdr:row>
      <xdr:rowOff>1387</xdr:rowOff>
    </xdr:from>
    <xdr:to>
      <xdr:col>3</xdr:col>
      <xdr:colOff>182600</xdr:colOff>
      <xdr:row>7</xdr:row>
      <xdr:rowOff>219725</xdr:rowOff>
    </xdr:to>
    <xdr:pic>
      <xdr:nvPicPr>
        <xdr:cNvPr id="14" name="Picture 1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3E75EF3-33B3-4A95-8D3D-FA4096DB7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73079" y="1511780"/>
          <a:ext cx="1483200" cy="694588"/>
        </a:xfrm>
        <a:prstGeom prst="rect">
          <a:avLst/>
        </a:prstGeom>
      </xdr:spPr>
    </xdr:pic>
    <xdr:clientData/>
  </xdr:twoCellAnchor>
  <xdr:twoCellAnchor>
    <xdr:from>
      <xdr:col>0</xdr:col>
      <xdr:colOff>386684</xdr:colOff>
      <xdr:row>19</xdr:row>
      <xdr:rowOff>69424</xdr:rowOff>
    </xdr:from>
    <xdr:to>
      <xdr:col>3</xdr:col>
      <xdr:colOff>196205</xdr:colOff>
      <xdr:row>21</xdr:row>
      <xdr:rowOff>326965</xdr:rowOff>
    </xdr:to>
    <xdr:pic>
      <xdr:nvPicPr>
        <xdr:cNvPr id="17" name="Picture 6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27A0F4F-ACDE-4081-9F0E-66320AB38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6684" y="4369281"/>
          <a:ext cx="1483200" cy="692970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381001</xdr:colOff>
      <xdr:row>9</xdr:row>
      <xdr:rowOff>40823</xdr:rowOff>
    </xdr:from>
    <xdr:to>
      <xdr:col>3</xdr:col>
      <xdr:colOff>190522</xdr:colOff>
      <xdr:row>11</xdr:row>
      <xdr:rowOff>286373</xdr:rowOff>
    </xdr:to>
    <xdr:pic>
      <xdr:nvPicPr>
        <xdr:cNvPr id="18" name="Picture 17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AFC1DDF7-D64F-4777-9ACA-6DA92C928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1" y="2462894"/>
          <a:ext cx="1483200" cy="6945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381000</xdr:colOff>
      <xdr:row>13</xdr:row>
      <xdr:rowOff>68036</xdr:rowOff>
    </xdr:from>
    <xdr:to>
      <xdr:col>3</xdr:col>
      <xdr:colOff>190500</xdr:colOff>
      <xdr:row>17</xdr:row>
      <xdr:rowOff>194936</xdr:rowOff>
    </xdr:to>
    <xdr:pic>
      <xdr:nvPicPr>
        <xdr:cNvPr id="19" name="Picture 1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7662021-AE6E-4061-9593-6A05E8C76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81000" y="3415393"/>
          <a:ext cx="1483179" cy="698400"/>
        </a:xfrm>
        <a:prstGeom prst="rect">
          <a:avLst/>
        </a:prstGeom>
      </xdr:spPr>
    </xdr:pic>
    <xdr:clientData/>
  </xdr:twoCellAnchor>
  <xdr:twoCellAnchor>
    <xdr:from>
      <xdr:col>16</xdr:col>
      <xdr:colOff>750455</xdr:colOff>
      <xdr:row>2</xdr:row>
      <xdr:rowOff>126999</xdr:rowOff>
    </xdr:from>
    <xdr:to>
      <xdr:col>69</xdr:col>
      <xdr:colOff>357909</xdr:colOff>
      <xdr:row>4</xdr:row>
      <xdr:rowOff>80817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B416B76B-3193-4FCC-AD4C-4A8BAC43136A}"/>
            </a:ext>
            <a:ext uri="{147F2762-F138-4A5C-976F-8EAC2B608ADB}">
              <a16:predDERef xmlns:a16="http://schemas.microsoft.com/office/drawing/2014/main" pred="{1E5874AC-8364-0816-01BE-22D0F4C35426}"/>
            </a:ext>
          </a:extLst>
        </xdr:cNvPr>
        <xdr:cNvSpPr txBox="1"/>
      </xdr:nvSpPr>
      <xdr:spPr>
        <a:xfrm>
          <a:off x="14212455" y="484908"/>
          <a:ext cx="3856181" cy="438727"/>
        </a:xfrm>
        <a:prstGeom prst="rect">
          <a:avLst/>
        </a:prstGeom>
        <a:solidFill>
          <a:schemeClr val="accen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lt-LT" sz="1200" b="0">
            <a:ln>
              <a:noFill/>
            </a:ln>
            <a:solidFill>
              <a:schemeClr val="accent3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66</xdr:col>
      <xdr:colOff>94124</xdr:colOff>
      <xdr:row>2</xdr:row>
      <xdr:rowOff>205531</xdr:rowOff>
    </xdr:from>
    <xdr:to>
      <xdr:col>69</xdr:col>
      <xdr:colOff>533717</xdr:colOff>
      <xdr:row>3</xdr:row>
      <xdr:rowOff>111266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D197862F-1998-4516-A127-2256A2BEAC1A}"/>
            </a:ext>
            <a:ext uri="{147F2762-F138-4A5C-976F-8EAC2B608ADB}">
              <a16:predDERef xmlns:a16="http://schemas.microsoft.com/office/drawing/2014/main" pred="{1C8E3DBB-78EC-468E-9587-290C480F2285}"/>
            </a:ext>
          </a:extLst>
        </xdr:cNvPr>
        <xdr:cNvSpPr txBox="1"/>
      </xdr:nvSpPr>
      <xdr:spPr>
        <a:xfrm>
          <a:off x="15171502" y="561751"/>
          <a:ext cx="3041544" cy="2232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US" sz="1000" b="1" i="0" u="none" strike="noStrike">
              <a:solidFill>
                <a:schemeClr val="accent3">
                  <a:lumMod val="2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Kaupiamojo </a:t>
          </a:r>
          <a:r>
            <a:rPr lang="en-US" sz="10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ŠESD kiekio </a:t>
          </a:r>
          <a:r>
            <a:rPr lang="lt-LT" sz="1000" b="1" i="0" u="none" strike="noStrike">
              <a:solidFill>
                <a:schemeClr val="accent3">
                  <a:lumMod val="2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pokytis</a:t>
          </a:r>
          <a:endParaRPr lang="en-US" sz="1000" b="1" i="0" u="none" strike="noStrike">
            <a:solidFill>
              <a:schemeClr val="accent3">
                <a:lumMod val="25000"/>
              </a:schemeClr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16</xdr:col>
      <xdr:colOff>740722</xdr:colOff>
      <xdr:row>27</xdr:row>
      <xdr:rowOff>170870</xdr:rowOff>
    </xdr:from>
    <xdr:to>
      <xdr:col>67</xdr:col>
      <xdr:colOff>342239</xdr:colOff>
      <xdr:row>29</xdr:row>
      <xdr:rowOff>23090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3E6B0FFE-5521-400F-A2F1-00A13202D422}"/>
            </a:ext>
          </a:extLst>
        </xdr:cNvPr>
        <xdr:cNvSpPr txBox="1"/>
      </xdr:nvSpPr>
      <xdr:spPr>
        <a:xfrm>
          <a:off x="14202722" y="5724234"/>
          <a:ext cx="2118426" cy="371765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400" b="1">
              <a:solidFill>
                <a:schemeClr val="accent3">
                  <a:lumMod val="25000"/>
                </a:schemeClr>
              </a:solidFill>
            </a:rPr>
            <a:t>ŽYMĖJIMAI</a:t>
          </a:r>
          <a:r>
            <a:rPr lang="lt-LT" sz="1400" b="1" baseline="0">
              <a:solidFill>
                <a:schemeClr val="accent3">
                  <a:lumMod val="25000"/>
                </a:schemeClr>
              </a:solidFill>
            </a:rPr>
            <a:t> IR PASTABOS</a:t>
          </a:r>
          <a:endParaRPr lang="lt-LT" sz="1400" b="1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65</xdr:col>
      <xdr:colOff>61024</xdr:colOff>
      <xdr:row>31</xdr:row>
      <xdr:rowOff>544121</xdr:rowOff>
    </xdr:from>
    <xdr:to>
      <xdr:col>65</xdr:col>
      <xdr:colOff>635907</xdr:colOff>
      <xdr:row>33</xdr:row>
      <xdr:rowOff>138377</xdr:rowOff>
    </xdr:to>
    <xdr:sp macro="" textlink="">
      <xdr:nvSpPr>
        <xdr:cNvPr id="23" name="Stačiakampis 22">
          <a:extLst>
            <a:ext uri="{FF2B5EF4-FFF2-40B4-BE49-F238E27FC236}">
              <a16:creationId xmlns:a16="http://schemas.microsoft.com/office/drawing/2014/main" id="{20227273-BAFD-451C-844D-BBBDB2838E8B}"/>
            </a:ext>
          </a:extLst>
        </xdr:cNvPr>
        <xdr:cNvSpPr/>
      </xdr:nvSpPr>
      <xdr:spPr>
        <a:xfrm>
          <a:off x="14308115" y="7067303"/>
          <a:ext cx="574883" cy="206165"/>
        </a:xfrm>
        <a:prstGeom prst="rect">
          <a:avLst/>
        </a:prstGeom>
        <a:solidFill>
          <a:srgbClr val="FFFFFF"/>
        </a:solidFill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65</xdr:col>
      <xdr:colOff>84120</xdr:colOff>
      <xdr:row>36</xdr:row>
      <xdr:rowOff>154871</xdr:rowOff>
    </xdr:from>
    <xdr:to>
      <xdr:col>65</xdr:col>
      <xdr:colOff>659002</xdr:colOff>
      <xdr:row>36</xdr:row>
      <xdr:rowOff>364339</xdr:rowOff>
    </xdr:to>
    <xdr:sp macro="" textlink="">
      <xdr:nvSpPr>
        <xdr:cNvPr id="24" name="Stačiakampis 23">
          <a:extLst>
            <a:ext uri="{FF2B5EF4-FFF2-40B4-BE49-F238E27FC236}">
              <a16:creationId xmlns:a16="http://schemas.microsoft.com/office/drawing/2014/main" id="{1F1775A4-B228-4017-A3D0-BA27E922363D}"/>
            </a:ext>
          </a:extLst>
        </xdr:cNvPr>
        <xdr:cNvSpPr/>
      </xdr:nvSpPr>
      <xdr:spPr>
        <a:xfrm>
          <a:off x="14331211" y="7451598"/>
          <a:ext cx="574882" cy="209468"/>
        </a:xfrm>
        <a:prstGeom prst="rect">
          <a:avLst/>
        </a:prstGeom>
        <a:solidFill>
          <a:schemeClr val="tx1"/>
        </a:solidFill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65</xdr:col>
      <xdr:colOff>716890</xdr:colOff>
      <xdr:row>29</xdr:row>
      <xdr:rowOff>103084</xdr:rowOff>
    </xdr:from>
    <xdr:to>
      <xdr:col>70</xdr:col>
      <xdr:colOff>609848</xdr:colOff>
      <xdr:row>29</xdr:row>
      <xdr:rowOff>319311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99D89A9-188A-4143-8B59-B555CC9389D6}"/>
            </a:ext>
          </a:extLst>
        </xdr:cNvPr>
        <xdr:cNvSpPr txBox="1"/>
      </xdr:nvSpPr>
      <xdr:spPr>
        <a:xfrm>
          <a:off x="14963981" y="6175993"/>
          <a:ext cx="4222503" cy="216227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Duomenų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įvesties laukelis</a:t>
          </a:r>
          <a:r>
            <a:rPr lang="en-US" sz="1100" baseline="0">
              <a:solidFill>
                <a:schemeClr val="accent3">
                  <a:lumMod val="25000"/>
                </a:schemeClr>
              </a:solidFill>
            </a:rPr>
            <a:t>. </a:t>
          </a:r>
          <a:r>
            <a:rPr lang="en-US" sz="1100" b="1" baseline="0">
              <a:solidFill>
                <a:schemeClr val="accent3">
                  <a:lumMod val="25000"/>
                </a:schemeClr>
              </a:solidFill>
            </a:rPr>
            <a:t>Pildo skai</a:t>
          </a:r>
          <a:r>
            <a:rPr lang="lt-LT" sz="1100" b="1" baseline="0">
              <a:solidFill>
                <a:schemeClr val="accent3">
                  <a:lumMod val="25000"/>
                </a:schemeClr>
              </a:solidFill>
            </a:rPr>
            <a:t>čiuoklės naudotojas</a:t>
          </a:r>
          <a:endParaRPr lang="lt-LT" sz="1100" b="1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65</xdr:col>
      <xdr:colOff>712604</xdr:colOff>
      <xdr:row>31</xdr:row>
      <xdr:rowOff>116114</xdr:rowOff>
    </xdr:from>
    <xdr:to>
      <xdr:col>71</xdr:col>
      <xdr:colOff>739736</xdr:colOff>
      <xdr:row>31</xdr:row>
      <xdr:rowOff>495795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DEFDF1BC-727F-4A23-A9C4-729A9E0FD5A3}"/>
            </a:ext>
          </a:extLst>
        </xdr:cNvPr>
        <xdr:cNvSpPr txBox="1"/>
      </xdr:nvSpPr>
      <xdr:spPr>
        <a:xfrm>
          <a:off x="14959695" y="6639296"/>
          <a:ext cx="5222586" cy="379681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Duomenų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pasirinkimo iš sąrašo  laukelis. </a:t>
          </a:r>
          <a:r>
            <a:rPr lang="lt-LT" sz="11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Pildo </a:t>
          </a:r>
          <a:r>
            <a:rPr lang="en-US" sz="11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skai</a:t>
          </a:r>
          <a:r>
            <a:rPr lang="lt-LT" sz="11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čiuoklės naudotojas</a:t>
          </a:r>
          <a:endParaRPr lang="lt-LT" sz="1100" b="1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65</xdr:col>
      <xdr:colOff>740975</xdr:colOff>
      <xdr:row>31</xdr:row>
      <xdr:rowOff>518885</xdr:rowOff>
    </xdr:from>
    <xdr:to>
      <xdr:col>70</xdr:col>
      <xdr:colOff>254748</xdr:colOff>
      <xdr:row>36</xdr:row>
      <xdr:rowOff>128314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99EEF7A-B8BF-4CB0-BFB9-CACE7519EA03}"/>
            </a:ext>
          </a:extLst>
        </xdr:cNvPr>
        <xdr:cNvSpPr txBox="1"/>
      </xdr:nvSpPr>
      <xdr:spPr>
        <a:xfrm>
          <a:off x="14988066" y="7042067"/>
          <a:ext cx="3843318" cy="382974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Neredaguo</a:t>
          </a:r>
          <a:r>
            <a:rPr lang="en-US" sz="1100">
              <a:solidFill>
                <a:schemeClr val="accent3">
                  <a:lumMod val="25000"/>
                </a:schemeClr>
              </a:solidFill>
            </a:rPr>
            <a:t>ja</a:t>
          </a:r>
          <a:r>
            <a:rPr lang="lt-LT" sz="1100">
              <a:solidFill>
                <a:schemeClr val="accent3">
                  <a:lumMod val="25000"/>
                </a:schemeClr>
              </a:solidFill>
            </a:rPr>
            <a:t>mas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 laukelis</a:t>
          </a:r>
          <a:endParaRPr lang="lt-LT" sz="11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65</xdr:col>
      <xdr:colOff>716069</xdr:colOff>
      <xdr:row>36</xdr:row>
      <xdr:rowOff>147613</xdr:rowOff>
    </xdr:from>
    <xdr:to>
      <xdr:col>72</xdr:col>
      <xdr:colOff>555005</xdr:colOff>
      <xdr:row>37</xdr:row>
      <xdr:rowOff>291274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19EC85BF-9016-4A13-9E2D-E31C5C38C7EA}"/>
            </a:ext>
          </a:extLst>
        </xdr:cNvPr>
        <xdr:cNvSpPr txBox="1"/>
      </xdr:nvSpPr>
      <xdr:spPr>
        <a:xfrm>
          <a:off x="14963160" y="7444340"/>
          <a:ext cx="5900300" cy="605479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Reikšmingai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neigiamo teisėkūros iniciatyvos  poveikio identifikavimo laukelis</a:t>
          </a:r>
          <a:endParaRPr lang="lt-LT" sz="11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65</xdr:col>
      <xdr:colOff>15587</xdr:colOff>
      <xdr:row>37</xdr:row>
      <xdr:rowOff>173182</xdr:rowOff>
    </xdr:from>
    <xdr:to>
      <xdr:col>67</xdr:col>
      <xdr:colOff>863849</xdr:colOff>
      <xdr:row>39</xdr:row>
      <xdr:rowOff>109844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74C6643-A864-4249-9797-0FF530799946}"/>
            </a:ext>
          </a:extLst>
        </xdr:cNvPr>
        <xdr:cNvSpPr txBox="1"/>
      </xdr:nvSpPr>
      <xdr:spPr>
        <a:xfrm>
          <a:off x="14262678" y="7931727"/>
          <a:ext cx="2580080" cy="37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ŠESD</a:t>
          </a:r>
          <a:r>
            <a:rPr lang="lt-LT" sz="1100" baseline="30000">
              <a:solidFill>
                <a:schemeClr val="accent3">
                  <a:lumMod val="25000"/>
                </a:schemeClr>
              </a:solidFill>
            </a:rPr>
            <a:t> </a:t>
          </a:r>
          <a:r>
            <a:rPr lang="en-US" sz="11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šiltnamio efektą sukeliančios dujos</a:t>
          </a:r>
          <a:endParaRPr lang="lt-LT" sz="1100" baseline="300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65</xdr:col>
      <xdr:colOff>76695</xdr:colOff>
      <xdr:row>29</xdr:row>
      <xdr:rowOff>105395</xdr:rowOff>
    </xdr:from>
    <xdr:to>
      <xdr:col>65</xdr:col>
      <xdr:colOff>651577</xdr:colOff>
      <xdr:row>29</xdr:row>
      <xdr:rowOff>319807</xdr:rowOff>
    </xdr:to>
    <xdr:sp macro="" textlink="">
      <xdr:nvSpPr>
        <xdr:cNvPr id="30" name="Stačiakampis 29">
          <a:extLst>
            <a:ext uri="{FF2B5EF4-FFF2-40B4-BE49-F238E27FC236}">
              <a16:creationId xmlns:a16="http://schemas.microsoft.com/office/drawing/2014/main" id="{364E6122-BFFE-4BFA-B684-7D568C32F863}"/>
            </a:ext>
          </a:extLst>
        </xdr:cNvPr>
        <xdr:cNvSpPr/>
      </xdr:nvSpPr>
      <xdr:spPr>
        <a:xfrm>
          <a:off x="14323786" y="6178304"/>
          <a:ext cx="574882" cy="214412"/>
        </a:xfrm>
        <a:prstGeom prst="rect">
          <a:avLst/>
        </a:prstGeom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65</xdr:col>
      <xdr:colOff>75791</xdr:colOff>
      <xdr:row>31</xdr:row>
      <xdr:rowOff>124525</xdr:rowOff>
    </xdr:from>
    <xdr:to>
      <xdr:col>65</xdr:col>
      <xdr:colOff>644323</xdr:colOff>
      <xdr:row>31</xdr:row>
      <xdr:rowOff>330694</xdr:rowOff>
    </xdr:to>
    <xdr:sp macro="" textlink="">
      <xdr:nvSpPr>
        <xdr:cNvPr id="31" name="Stačiakampis 30">
          <a:extLst>
            <a:ext uri="{FF2B5EF4-FFF2-40B4-BE49-F238E27FC236}">
              <a16:creationId xmlns:a16="http://schemas.microsoft.com/office/drawing/2014/main" id="{42769117-C6F9-4BF9-A8F3-CA7FBB5F8A60}"/>
            </a:ext>
          </a:extLst>
        </xdr:cNvPr>
        <xdr:cNvSpPr/>
      </xdr:nvSpPr>
      <xdr:spPr>
        <a:xfrm>
          <a:off x="14322882" y="6647707"/>
          <a:ext cx="568532" cy="206169"/>
        </a:xfrm>
        <a:prstGeom prst="rect">
          <a:avLst/>
        </a:prstGeom>
        <a:solidFill>
          <a:schemeClr val="accent6"/>
        </a:solidFill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65</xdr:col>
      <xdr:colOff>18142</xdr:colOff>
      <xdr:row>39</xdr:row>
      <xdr:rowOff>34635</xdr:rowOff>
    </xdr:from>
    <xdr:to>
      <xdr:col>67</xdr:col>
      <xdr:colOff>625103</xdr:colOff>
      <xdr:row>39</xdr:row>
      <xdr:rowOff>271317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7D661264-4C99-4F69-8229-71EE625F35CF}"/>
            </a:ext>
          </a:extLst>
        </xdr:cNvPr>
        <xdr:cNvSpPr txBox="1"/>
      </xdr:nvSpPr>
      <xdr:spPr>
        <a:xfrm>
          <a:off x="14265233" y="8231908"/>
          <a:ext cx="2338779" cy="236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100" b="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kt – kilotona</a:t>
          </a:r>
          <a:endParaRPr lang="lt-LT" b="0">
            <a:solidFill>
              <a:schemeClr val="accent3">
                <a:lumMod val="25000"/>
              </a:schemeClr>
            </a:solidFill>
            <a:effectLst/>
          </a:endParaRPr>
        </a:p>
        <a:p>
          <a:endParaRPr lang="lt-LT" sz="1100" b="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0</xdr:col>
      <xdr:colOff>428257</xdr:colOff>
      <xdr:row>37</xdr:row>
      <xdr:rowOff>140292</xdr:rowOff>
    </xdr:from>
    <xdr:to>
      <xdr:col>3</xdr:col>
      <xdr:colOff>373619</xdr:colOff>
      <xdr:row>47</xdr:row>
      <xdr:rowOff>48981</xdr:rowOff>
    </xdr:to>
    <xdr:grpSp>
      <xdr:nvGrpSpPr>
        <xdr:cNvPr id="2" name="Grupė 1">
          <a:extLst>
            <a:ext uri="{FF2B5EF4-FFF2-40B4-BE49-F238E27FC236}">
              <a16:creationId xmlns:a16="http://schemas.microsoft.com/office/drawing/2014/main" id="{113036A4-FD20-4C08-9EAA-3963B35A5C17}"/>
            </a:ext>
          </a:extLst>
        </xdr:cNvPr>
        <xdr:cNvGrpSpPr/>
      </xdr:nvGrpSpPr>
      <xdr:grpSpPr>
        <a:xfrm>
          <a:off x="428257" y="7899682"/>
          <a:ext cx="1710972" cy="1550397"/>
          <a:chOff x="335643" y="7955643"/>
          <a:chExt cx="1717455" cy="1540492"/>
        </a:xfrm>
      </xdr:grpSpPr>
      <xdr:sp macro="" textlink="">
        <xdr:nvSpPr>
          <xdr:cNvPr id="20" name="TextBox 19">
            <a:hlinkClick xmlns:r="http://schemas.openxmlformats.org/officeDocument/2006/relationships" r:id="rId15"/>
            <a:extLst>
              <a:ext uri="{FF2B5EF4-FFF2-40B4-BE49-F238E27FC236}">
                <a16:creationId xmlns:a16="http://schemas.microsoft.com/office/drawing/2014/main" id="{55F29B6B-4C96-262E-D92A-72EED46CFF63}"/>
              </a:ext>
            </a:extLst>
          </xdr:cNvPr>
          <xdr:cNvSpPr txBox="1"/>
        </xdr:nvSpPr>
        <xdr:spPr>
          <a:xfrm>
            <a:off x="335643" y="8817602"/>
            <a:ext cx="1717455" cy="6785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lt-LT" sz="1100">
                <a:solidFill>
                  <a:srgbClr val="808080"/>
                </a:solidFill>
              </a:rPr>
              <a:t>https://aaa.lrv.lt/lt/veiklos-sritys/teisekuros-poveikio-vertinimas/</a:t>
            </a:r>
          </a:p>
        </xdr:txBody>
      </xdr:sp>
      <xdr:pic>
        <xdr:nvPicPr>
          <xdr:cNvPr id="35" name="Paveikslėlis 34">
            <a:extLst>
              <a:ext uri="{FF2B5EF4-FFF2-40B4-BE49-F238E27FC236}">
                <a16:creationId xmlns:a16="http://schemas.microsoft.com/office/drawing/2014/main" id="{32A2362F-0CF1-18C9-139D-52D3F0A6896F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16054"/>
          <a:stretch/>
        </xdr:blipFill>
        <xdr:spPr>
          <a:xfrm>
            <a:off x="662215" y="7955643"/>
            <a:ext cx="783866" cy="743857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141942</xdr:colOff>
      <xdr:row>5</xdr:row>
      <xdr:rowOff>7470</xdr:rowOff>
    </xdr:from>
    <xdr:to>
      <xdr:col>2</xdr:col>
      <xdr:colOff>201707</xdr:colOff>
      <xdr:row>6</xdr:row>
      <xdr:rowOff>44824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937A42B9-DD91-4A5B-91B9-B5454D7463EA}"/>
            </a:ext>
          </a:extLst>
        </xdr:cNvPr>
        <xdr:cNvSpPr txBox="1"/>
      </xdr:nvSpPr>
      <xdr:spPr>
        <a:xfrm>
          <a:off x="141942" y="1007595"/>
          <a:ext cx="1221815" cy="2278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lt-LT" sz="1100"/>
        </a:p>
      </xdr:txBody>
    </xdr:sp>
    <xdr:clientData/>
  </xdr:twoCellAnchor>
  <xdr:twoCellAnchor>
    <xdr:from>
      <xdr:col>0</xdr:col>
      <xdr:colOff>197967</xdr:colOff>
      <xdr:row>0</xdr:row>
      <xdr:rowOff>149677</xdr:rowOff>
    </xdr:from>
    <xdr:to>
      <xdr:col>3</xdr:col>
      <xdr:colOff>539196</xdr:colOff>
      <xdr:row>48</xdr:row>
      <xdr:rowOff>47883</xdr:rowOff>
    </xdr:to>
    <xdr:sp macro="" textlink="">
      <xdr:nvSpPr>
        <xdr:cNvPr id="25" name="Stačiakampis: suapvalinti kampai 5">
          <a:extLst>
            <a:ext uri="{FF2B5EF4-FFF2-40B4-BE49-F238E27FC236}">
              <a16:creationId xmlns:a16="http://schemas.microsoft.com/office/drawing/2014/main" id="{46023FA3-9223-450D-88ED-40320E00CA58}"/>
            </a:ext>
          </a:extLst>
        </xdr:cNvPr>
        <xdr:cNvSpPr/>
      </xdr:nvSpPr>
      <xdr:spPr>
        <a:xfrm>
          <a:off x="197967" y="149677"/>
          <a:ext cx="1810800" cy="9518456"/>
        </a:xfrm>
        <a:prstGeom prst="roundRect">
          <a:avLst>
            <a:gd name="adj" fmla="val 4546"/>
          </a:avLst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1</xdr:col>
      <xdr:colOff>122464</xdr:colOff>
      <xdr:row>2</xdr:row>
      <xdr:rowOff>13606</xdr:rowOff>
    </xdr:from>
    <xdr:to>
      <xdr:col>3</xdr:col>
      <xdr:colOff>330277</xdr:colOff>
      <xdr:row>4</xdr:row>
      <xdr:rowOff>168562</xdr:rowOff>
    </xdr:to>
    <xdr:pic>
      <xdr:nvPicPr>
        <xdr:cNvPr id="6" name="Paveikslėlis 2">
          <a:extLst>
            <a:ext uri="{FF2B5EF4-FFF2-40B4-BE49-F238E27FC236}">
              <a16:creationId xmlns:a16="http://schemas.microsoft.com/office/drawing/2014/main" id="{169B3A56-60E1-465F-BA50-BCC7AE6CA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821" y="394606"/>
          <a:ext cx="1378027" cy="590385"/>
        </a:xfrm>
        <a:prstGeom prst="rect">
          <a:avLst/>
        </a:prstGeom>
      </xdr:spPr>
    </xdr:pic>
    <xdr:clientData/>
  </xdr:twoCellAnchor>
  <xdr:twoCellAnchor editAs="oneCell">
    <xdr:from>
      <xdr:col>2</xdr:col>
      <xdr:colOff>22791</xdr:colOff>
      <xdr:row>27</xdr:row>
      <xdr:rowOff>27214</xdr:rowOff>
    </xdr:from>
    <xdr:to>
      <xdr:col>2</xdr:col>
      <xdr:colOff>516959</xdr:colOff>
      <xdr:row>29</xdr:row>
      <xdr:rowOff>90713</xdr:rowOff>
    </xdr:to>
    <xdr:pic>
      <xdr:nvPicPr>
        <xdr:cNvPr id="15" name="Grafinis elementas 6" descr="Envelope outline">
          <a:extLst>
            <a:ext uri="{FF2B5EF4-FFF2-40B4-BE49-F238E27FC236}">
              <a16:creationId xmlns:a16="http://schemas.microsoft.com/office/drawing/2014/main" id="{AC41730B-617A-49DC-A985-7976B17C3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907255" y="5592535"/>
          <a:ext cx="494168" cy="444499"/>
        </a:xfrm>
        <a:prstGeom prst="rect">
          <a:avLst/>
        </a:prstGeom>
      </xdr:spPr>
    </xdr:pic>
    <xdr:clientData/>
  </xdr:twoCellAnchor>
  <xdr:twoCellAnchor>
    <xdr:from>
      <xdr:col>1</xdr:col>
      <xdr:colOff>392752</xdr:colOff>
      <xdr:row>29</xdr:row>
      <xdr:rowOff>62800</xdr:rowOff>
    </xdr:from>
    <xdr:to>
      <xdr:col>3</xdr:col>
      <xdr:colOff>541187</xdr:colOff>
      <xdr:row>30</xdr:row>
      <xdr:rowOff>137782</xdr:rowOff>
    </xdr:to>
    <xdr:sp macro="" textlink="">
      <xdr:nvSpPr>
        <xdr:cNvPr id="16" name="TextBox 11">
          <a:extLst>
            <a:ext uri="{FF2B5EF4-FFF2-40B4-BE49-F238E27FC236}">
              <a16:creationId xmlns:a16="http://schemas.microsoft.com/office/drawing/2014/main" id="{F61E4DCB-527B-4834-95D3-A11FA00B6CE7}"/>
            </a:ext>
          </a:extLst>
        </xdr:cNvPr>
        <xdr:cNvSpPr txBox="1"/>
      </xdr:nvSpPr>
      <xdr:spPr>
        <a:xfrm>
          <a:off x="692109" y="6009121"/>
          <a:ext cx="1318649" cy="265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 editAs="oneCell">
    <xdr:from>
      <xdr:col>2</xdr:col>
      <xdr:colOff>100433</xdr:colOff>
      <xdr:row>32</xdr:row>
      <xdr:rowOff>154990</xdr:rowOff>
    </xdr:from>
    <xdr:to>
      <xdr:col>2</xdr:col>
      <xdr:colOff>447209</xdr:colOff>
      <xdr:row>34</xdr:row>
      <xdr:rowOff>161586</xdr:rowOff>
    </xdr:to>
    <xdr:pic>
      <xdr:nvPicPr>
        <xdr:cNvPr id="17" name="Grafinis elementas 8" descr="Receiver outline">
          <a:extLst>
            <a:ext uri="{FF2B5EF4-FFF2-40B4-BE49-F238E27FC236}">
              <a16:creationId xmlns:a16="http://schemas.microsoft.com/office/drawing/2014/main" id="{A5E39E15-D8EC-4449-A6B1-ADA78EE72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984897" y="6672811"/>
          <a:ext cx="346776" cy="387596"/>
        </a:xfrm>
        <a:prstGeom prst="rect">
          <a:avLst/>
        </a:prstGeom>
      </xdr:spPr>
    </xdr:pic>
    <xdr:clientData/>
  </xdr:twoCellAnchor>
  <xdr:twoCellAnchor>
    <xdr:from>
      <xdr:col>1</xdr:col>
      <xdr:colOff>312965</xdr:colOff>
      <xdr:row>35</xdr:row>
      <xdr:rowOff>13733</xdr:rowOff>
    </xdr:from>
    <xdr:to>
      <xdr:col>3</xdr:col>
      <xdr:colOff>461400</xdr:colOff>
      <xdr:row>36</xdr:row>
      <xdr:rowOff>75718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8CA4C906-D02A-4189-8B28-F6E40834AD0A}"/>
            </a:ext>
          </a:extLst>
        </xdr:cNvPr>
        <xdr:cNvSpPr txBox="1"/>
      </xdr:nvSpPr>
      <xdr:spPr>
        <a:xfrm>
          <a:off x="612322" y="7103054"/>
          <a:ext cx="1318649" cy="2524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1</xdr:col>
      <xdr:colOff>68036</xdr:colOff>
      <xdr:row>7</xdr:row>
      <xdr:rowOff>122464</xdr:rowOff>
    </xdr:from>
    <xdr:to>
      <xdr:col>3</xdr:col>
      <xdr:colOff>381022</xdr:colOff>
      <xdr:row>10</xdr:row>
      <xdr:rowOff>55052</xdr:rowOff>
    </xdr:to>
    <xdr:pic>
      <xdr:nvPicPr>
        <xdr:cNvPr id="21" name="Picture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53041C6-5FE3-40DC-BFA0-A3451FE3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67393" y="1510393"/>
          <a:ext cx="1483200" cy="694588"/>
        </a:xfrm>
        <a:prstGeom prst="rect">
          <a:avLst/>
        </a:prstGeom>
      </xdr:spPr>
    </xdr:pic>
    <xdr:clientData/>
  </xdr:twoCellAnchor>
  <xdr:twoCellAnchor editAs="oneCell">
    <xdr:from>
      <xdr:col>1</xdr:col>
      <xdr:colOff>81643</xdr:colOff>
      <xdr:row>11</xdr:row>
      <xdr:rowOff>122465</xdr:rowOff>
    </xdr:from>
    <xdr:to>
      <xdr:col>3</xdr:col>
      <xdr:colOff>394629</xdr:colOff>
      <xdr:row>15</xdr:row>
      <xdr:rowOff>624</xdr:rowOff>
    </xdr:to>
    <xdr:pic>
      <xdr:nvPicPr>
        <xdr:cNvPr id="22" name="Picture 2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DF308D12-A48D-465E-B7AC-74AA422EF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62894"/>
          <a:ext cx="1483200" cy="6945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81643</xdr:colOff>
      <xdr:row>16</xdr:row>
      <xdr:rowOff>68036</xdr:rowOff>
    </xdr:from>
    <xdr:to>
      <xdr:col>3</xdr:col>
      <xdr:colOff>394629</xdr:colOff>
      <xdr:row>19</xdr:row>
      <xdr:rowOff>177880</xdr:rowOff>
    </xdr:to>
    <xdr:pic>
      <xdr:nvPicPr>
        <xdr:cNvPr id="23" name="Picture 6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1600ECB-848D-4309-90E6-D16F40345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381000" y="3415393"/>
          <a:ext cx="1483200" cy="694951"/>
        </a:xfrm>
        <a:prstGeom prst="rect">
          <a:avLst/>
        </a:prstGeom>
      </xdr:spPr>
    </xdr:pic>
    <xdr:clientData/>
  </xdr:twoCellAnchor>
  <xdr:twoCellAnchor>
    <xdr:from>
      <xdr:col>1</xdr:col>
      <xdr:colOff>68036</xdr:colOff>
      <xdr:row>21</xdr:row>
      <xdr:rowOff>54430</xdr:rowOff>
    </xdr:from>
    <xdr:to>
      <xdr:col>3</xdr:col>
      <xdr:colOff>381022</xdr:colOff>
      <xdr:row>24</xdr:row>
      <xdr:rowOff>123870</xdr:rowOff>
    </xdr:to>
    <xdr:pic>
      <xdr:nvPicPr>
        <xdr:cNvPr id="24" name="Picture 1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9A0536D-1F8F-4E0F-BC73-38BEB7132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67393" y="4367894"/>
          <a:ext cx="1483200" cy="695369"/>
        </a:xfrm>
        <a:prstGeom prst="rect">
          <a:avLst/>
        </a:prstGeom>
      </xdr:spPr>
    </xdr:pic>
    <xdr:clientData/>
  </xdr:twoCellAnchor>
  <xdr:twoCellAnchor>
    <xdr:from>
      <xdr:col>1</xdr:col>
      <xdr:colOff>136071</xdr:colOff>
      <xdr:row>39</xdr:row>
      <xdr:rowOff>63500</xdr:rowOff>
    </xdr:from>
    <xdr:to>
      <xdr:col>4</xdr:col>
      <xdr:colOff>30169</xdr:colOff>
      <xdr:row>47</xdr:row>
      <xdr:rowOff>98135</xdr:rowOff>
    </xdr:to>
    <xdr:grpSp>
      <xdr:nvGrpSpPr>
        <xdr:cNvPr id="4" name="Grupė 3">
          <a:extLst>
            <a:ext uri="{FF2B5EF4-FFF2-40B4-BE49-F238E27FC236}">
              <a16:creationId xmlns:a16="http://schemas.microsoft.com/office/drawing/2014/main" id="{15463029-297D-4815-9689-75D4669B3753}"/>
            </a:ext>
          </a:extLst>
        </xdr:cNvPr>
        <xdr:cNvGrpSpPr/>
      </xdr:nvGrpSpPr>
      <xdr:grpSpPr>
        <a:xfrm>
          <a:off x="453571" y="7483929"/>
          <a:ext cx="1717455" cy="1540492"/>
          <a:chOff x="335643" y="7955643"/>
          <a:chExt cx="1717455" cy="1540492"/>
        </a:xfrm>
      </xdr:grpSpPr>
      <xdr:sp macro="" textlink="">
        <xdr:nvSpPr>
          <xdr:cNvPr id="5" name="TextBox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77436D47-E2FC-ED5F-92B4-8E5022EC133B}"/>
              </a:ext>
            </a:extLst>
          </xdr:cNvPr>
          <xdr:cNvSpPr txBox="1"/>
        </xdr:nvSpPr>
        <xdr:spPr>
          <a:xfrm>
            <a:off x="335643" y="8817602"/>
            <a:ext cx="1717455" cy="6785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lt-LT" sz="1100">
                <a:solidFill>
                  <a:srgbClr val="808080"/>
                </a:solidFill>
              </a:rPr>
              <a:t>https://aaa.lrv.lt/lt/veiklos-sritys/teisekuros-poveikio-vertinimas/</a:t>
            </a:r>
          </a:p>
        </xdr:txBody>
      </xdr:sp>
      <xdr:pic>
        <xdr:nvPicPr>
          <xdr:cNvPr id="7" name="Paveikslėlis 6">
            <a:extLst>
              <a:ext uri="{FF2B5EF4-FFF2-40B4-BE49-F238E27FC236}">
                <a16:creationId xmlns:a16="http://schemas.microsoft.com/office/drawing/2014/main" id="{2FFF1913-D696-0166-029A-426D441C132F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16054"/>
          <a:stretch/>
        </xdr:blipFill>
        <xdr:spPr>
          <a:xfrm>
            <a:off x="662215" y="7955643"/>
            <a:ext cx="783866" cy="743857"/>
          </a:xfrm>
          <a:prstGeom prst="rect">
            <a:avLst/>
          </a:prstGeom>
        </xdr:spPr>
      </xdr:pic>
    </xdr:grpSp>
    <xdr:clientData/>
  </xdr:twoCellAnchor>
  <xdr:twoCellAnchor>
    <xdr:from>
      <xdr:col>5</xdr:col>
      <xdr:colOff>81644</xdr:colOff>
      <xdr:row>2</xdr:row>
      <xdr:rowOff>72571</xdr:rowOff>
    </xdr:from>
    <xdr:to>
      <xdr:col>7</xdr:col>
      <xdr:colOff>2394855</xdr:colOff>
      <xdr:row>3</xdr:row>
      <xdr:rowOff>90713</xdr:rowOff>
    </xdr:to>
    <xdr:sp macro="" textlink="">
      <xdr:nvSpPr>
        <xdr:cNvPr id="9" name="Stačiakampis 8">
          <a:extLst>
            <a:ext uri="{FF2B5EF4-FFF2-40B4-BE49-F238E27FC236}">
              <a16:creationId xmlns:a16="http://schemas.microsoft.com/office/drawing/2014/main" id="{9F14DF48-4B69-466F-B503-89169CF33D0C}"/>
            </a:ext>
          </a:extLst>
        </xdr:cNvPr>
        <xdr:cNvSpPr/>
      </xdr:nvSpPr>
      <xdr:spPr>
        <a:xfrm>
          <a:off x="2907394" y="440871"/>
          <a:ext cx="6783611" cy="253092"/>
        </a:xfrm>
        <a:prstGeom prst="rect">
          <a:avLst/>
        </a:prstGeom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6</xdr:col>
      <xdr:colOff>9070</xdr:colOff>
      <xdr:row>2</xdr:row>
      <xdr:rowOff>63502</xdr:rowOff>
    </xdr:from>
    <xdr:to>
      <xdr:col>6</xdr:col>
      <xdr:colOff>2467428</xdr:colOff>
      <xdr:row>3</xdr:row>
      <xdr:rowOff>154216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766F592-686A-4079-88CC-EDD37EBB3AF8}"/>
            </a:ext>
          </a:extLst>
        </xdr:cNvPr>
        <xdr:cNvSpPr txBox="1"/>
      </xdr:nvSpPr>
      <xdr:spPr>
        <a:xfrm>
          <a:off x="4682670" y="431802"/>
          <a:ext cx="2458358" cy="325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 b="1">
              <a:solidFill>
                <a:schemeClr val="accent3">
                  <a:lumMod val="25000"/>
                </a:schemeClr>
              </a:solidFill>
            </a:rPr>
            <a:t>SKAIČIUOKLĖS ATNAUJINIMO ISTORIJA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agentura2020.sharepoint.com/sites/Bendrjanalitinikompetencijskyrius/Bendrai%20naudojami%20dokumentai/01_POVEIKIO%20NUSTATYMO%20METODIKA/01_&#352;ESD/SKAI&#268;IUOKL&#278;S/Tvarkoma/Pramon&#279;s%20sektorius/Skai&#269;iuokl&#279;.%20Kuro%20r&#363;&#353;ies%20reguliavimo%20poveikio%20&#352;ESD%20kiekio%20suma&#382;inimui%20analiz&#279;s%20skai&#269;iuokl&#279;.xlsm" TargetMode="External"/><Relationship Id="rId2" Type="http://schemas.microsoft.com/office/2019/04/relationships/externalLinkLongPath" Target="https://agentura2020.sharepoint.com/sites/Bendrjanalitinikompetencijskyrius/Bendrai%20naudojami%20dokumentai/01_POVEIKIO%20NUSTATYMO%20METODIKA/01_&#352;ESD/SKAI&#268;IUOKL&#278;S/Tvarkoma/Pramon&#279;s%20sektorius/Skai&#269;iuokl&#279;.%20Kuro%20r&#363;&#353;ies%20reguliavimo%20poveikio%20&#352;ESD%20kiekio%20suma&#382;inimui%20analiz&#279;s%20skai&#269;iuokl&#279;.xlsm?89788A10" TargetMode="External"/><Relationship Id="rId1" Type="http://schemas.openxmlformats.org/officeDocument/2006/relationships/externalLinkPath" Target="file:///\\89788A10\Skai&#269;iuokl&#279;.%20Kuro%20r&#363;&#353;ies%20reguliavimo%20poveikio%20&#352;ESD%20kiekio%20suma&#382;inimui%20analiz&#279;s%20skai&#269;iuokl&#27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chWgjIVJEky9wTutjN6_g9eZY-fzAM5FnmvV-PwMkaVPuuQQV1j4QJyXjkqJCR1g" itemId="01B5HW54LHJRDEA2AADRA3CNJABTB2Y5XZ">
      <xxl21:absoluteUrl r:id="rId3"/>
    </xxl21:alternateUrls>
    <sheetNames>
      <sheetName val="PRADŽIA"/>
      <sheetName val="NAUDOJIMO INSTRUKCIJA"/>
      <sheetName val="SKAIČIUOKLĖ"/>
      <sheetName val="ATNAUJINIMAS"/>
      <sheetName val="NAUDOJIMOSI INSTRUKCIJA"/>
      <sheetName val="Sheet2"/>
    </sheetNames>
    <definedNames>
      <definedName name="įAtnaujinimąIšPradžios"/>
      <definedName name="įPradžiąIšAtnaujinimo"/>
      <definedName name="įSkaičiuoklęIšPradžios"/>
    </defined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AAA">
  <a:themeElements>
    <a:clrScheme name="AAA">
      <a:dk1>
        <a:srgbClr val="8FCEA5"/>
      </a:dk1>
      <a:lt1>
        <a:srgbClr val="44C8F5"/>
      </a:lt1>
      <a:dk2>
        <a:srgbClr val="A5D8B7"/>
      </a:dk2>
      <a:lt2>
        <a:srgbClr val="BCE2C9"/>
      </a:lt2>
      <a:accent1>
        <a:srgbClr val="D2EBDB"/>
      </a:accent1>
      <a:accent2>
        <a:srgbClr val="E9F5ED"/>
      </a:accent2>
      <a:accent3>
        <a:srgbClr val="F4FAF6"/>
      </a:accent3>
      <a:accent4>
        <a:srgbClr val="6DCFF6"/>
      </a:accent4>
      <a:accent5>
        <a:srgbClr val="94D9F8"/>
      </a:accent5>
      <a:accent6>
        <a:srgbClr val="B6E4FA"/>
      </a:accent6>
      <a:hlink>
        <a:srgbClr val="DAF4FD"/>
      </a:hlink>
      <a:folHlink>
        <a:srgbClr val="EFF9FE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AAA">
    <a:dk1>
      <a:srgbClr val="8FCEA5"/>
    </a:dk1>
    <a:lt1>
      <a:srgbClr val="44C8F5"/>
    </a:lt1>
    <a:dk2>
      <a:srgbClr val="A5D8B7"/>
    </a:dk2>
    <a:lt2>
      <a:srgbClr val="BCE2C9"/>
    </a:lt2>
    <a:accent1>
      <a:srgbClr val="D2EBDB"/>
    </a:accent1>
    <a:accent2>
      <a:srgbClr val="E9F5ED"/>
    </a:accent2>
    <a:accent3>
      <a:srgbClr val="F4FAF6"/>
    </a:accent3>
    <a:accent4>
      <a:srgbClr val="6DCFF6"/>
    </a:accent4>
    <a:accent5>
      <a:srgbClr val="94D9F8"/>
    </a:accent5>
    <a:accent6>
      <a:srgbClr val="B6E4FA"/>
    </a:accent6>
    <a:hlink>
      <a:srgbClr val="DAF4FD"/>
    </a:hlink>
    <a:folHlink>
      <a:srgbClr val="EFF9F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F9614-B8C3-41D9-A25C-7A1B7249954E}">
  <dimension ref="B1:Y42"/>
  <sheetViews>
    <sheetView topLeftCell="A25" zoomScale="80" zoomScaleNormal="80" workbookViewId="0">
      <selection activeCell="O62" sqref="O62"/>
    </sheetView>
  </sheetViews>
  <sheetFormatPr defaultColWidth="8.7265625" defaultRowHeight="14.5"/>
  <cols>
    <col min="1" max="5" width="8.7265625" style="1"/>
    <col min="6" max="6" width="7.81640625" style="1" customWidth="1"/>
    <col min="7" max="15" width="8.7265625" style="1"/>
    <col min="16" max="16" width="20.453125" style="1" customWidth="1"/>
    <col min="17" max="16384" width="8.7265625" style="1"/>
  </cols>
  <sheetData>
    <row r="1" spans="2:22">
      <c r="R1" s="165"/>
      <c r="S1" s="166"/>
      <c r="T1" s="166"/>
      <c r="U1" s="166"/>
      <c r="V1" s="166"/>
    </row>
    <row r="2" spans="2:22">
      <c r="R2" s="166"/>
      <c r="S2" s="166"/>
      <c r="T2" s="166"/>
      <c r="U2" s="166"/>
      <c r="V2" s="166"/>
    </row>
    <row r="3" spans="2:22" ht="18.5">
      <c r="E3" s="7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R3" s="166"/>
      <c r="S3" s="166"/>
      <c r="T3" s="166"/>
      <c r="U3" s="166"/>
      <c r="V3" s="166"/>
    </row>
    <row r="4" spans="2:22">
      <c r="R4" s="166"/>
      <c r="S4" s="166"/>
      <c r="T4" s="166"/>
      <c r="U4" s="166"/>
      <c r="V4" s="166"/>
    </row>
    <row r="5" spans="2:22">
      <c r="R5" s="166"/>
      <c r="S5" s="166"/>
      <c r="T5" s="166"/>
      <c r="U5" s="166"/>
      <c r="V5" s="166"/>
    </row>
    <row r="9" spans="2:22" ht="18.5">
      <c r="B9" s="5"/>
      <c r="C9" s="5"/>
      <c r="D9" s="6"/>
      <c r="E9" s="58"/>
      <c r="I9" s="59"/>
      <c r="K9" s="2"/>
    </row>
    <row r="15" spans="2:22" ht="18.5">
      <c r="J15" s="3"/>
      <c r="N15" s="2"/>
    </row>
    <row r="16" spans="2:22" ht="18.5">
      <c r="H16" s="3"/>
    </row>
    <row r="18" spans="2:25" ht="15.5">
      <c r="B18" s="5"/>
      <c r="C18" s="5"/>
      <c r="D18" s="5"/>
    </row>
    <row r="21" spans="2:25" ht="18.5">
      <c r="E21" s="2"/>
    </row>
    <row r="25" spans="2:25" ht="18.5">
      <c r="G25" s="3"/>
    </row>
    <row r="27" spans="2:25" ht="18.5">
      <c r="C27" s="4"/>
      <c r="H27" s="2"/>
    </row>
    <row r="29" spans="2:25"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1"/>
      <c r="R29" s="62"/>
      <c r="S29" s="63"/>
      <c r="T29" s="63"/>
      <c r="U29" s="63"/>
      <c r="V29" s="64"/>
      <c r="W29" s="65"/>
      <c r="X29" s="64"/>
      <c r="Y29" s="65"/>
    </row>
    <row r="30" spans="2:25"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1"/>
      <c r="R30" s="62"/>
      <c r="S30" s="63"/>
      <c r="T30" s="63"/>
      <c r="U30" s="63"/>
      <c r="V30" s="66"/>
      <c r="W30" s="66"/>
      <c r="X30" s="67"/>
      <c r="Y30" s="67"/>
    </row>
    <row r="31" spans="2:25">
      <c r="E31" s="60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8"/>
      <c r="R31" s="68"/>
      <c r="S31" s="63"/>
      <c r="T31" s="63"/>
      <c r="U31" s="63"/>
      <c r="V31" s="66"/>
      <c r="W31" s="66"/>
      <c r="X31" s="67"/>
      <c r="Y31" s="67"/>
    </row>
    <row r="32" spans="2:25"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8"/>
      <c r="R32" s="68"/>
      <c r="S32" s="63"/>
      <c r="T32" s="63"/>
      <c r="U32" s="63"/>
      <c r="V32" s="66"/>
      <c r="W32" s="66"/>
      <c r="X32" s="67"/>
      <c r="Y32" s="67"/>
    </row>
    <row r="33" spans="2:25">
      <c r="E33" s="60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8"/>
      <c r="V33" s="67"/>
      <c r="W33" s="67"/>
      <c r="X33" s="67"/>
      <c r="Y33" s="67"/>
    </row>
    <row r="34" spans="2:25"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8"/>
      <c r="R34" s="68"/>
      <c r="S34" s="68"/>
      <c r="T34" s="68"/>
      <c r="U34" s="68"/>
      <c r="V34" s="67"/>
      <c r="W34" s="67"/>
      <c r="X34" s="67"/>
      <c r="Y34" s="67"/>
    </row>
    <row r="35" spans="2:25"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8"/>
      <c r="T35" s="68"/>
      <c r="U35" s="68"/>
      <c r="V35" s="67"/>
      <c r="W35" s="69"/>
      <c r="X35" s="67"/>
      <c r="Y35" s="67"/>
    </row>
    <row r="36" spans="2:25"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8"/>
      <c r="R36" s="68"/>
      <c r="S36" s="68"/>
      <c r="T36" s="68"/>
      <c r="U36" s="68"/>
      <c r="V36" s="67"/>
      <c r="W36" s="67"/>
      <c r="X36" s="67"/>
      <c r="Y36" s="67"/>
    </row>
    <row r="37" spans="2:25"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8"/>
      <c r="R37" s="68"/>
      <c r="S37" s="68"/>
      <c r="T37" s="68"/>
      <c r="U37" s="68"/>
      <c r="V37" s="67"/>
      <c r="W37" s="70"/>
      <c r="X37" s="67"/>
      <c r="Y37" s="67"/>
    </row>
    <row r="38" spans="2:25"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8"/>
      <c r="R38" s="68"/>
      <c r="S38" s="68"/>
      <c r="T38" s="68"/>
      <c r="U38" s="68"/>
      <c r="V38" s="67"/>
      <c r="W38" s="67"/>
      <c r="X38" s="67"/>
      <c r="Y38" s="67"/>
    </row>
    <row r="39" spans="2:25"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8"/>
      <c r="R39" s="68"/>
      <c r="S39" s="68"/>
      <c r="T39" s="68"/>
      <c r="U39" s="68"/>
      <c r="V39" s="67"/>
      <c r="W39" s="71"/>
      <c r="X39" s="67"/>
      <c r="Y39" s="67"/>
    </row>
    <row r="40" spans="2:25" ht="18.5">
      <c r="B40" s="2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</row>
    <row r="41" spans="2:25"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</row>
    <row r="42" spans="2:25"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</row>
  </sheetData>
  <sheetProtection algorithmName="SHA-512" hashValue="5dwnxx7n/FxD8Z1FX+AEyk82iGsGYHq1JCwfFiPHzdJHmfYphLCVFuAxgzJFoN9e2zrc/oLxyFjhw6VqezK46Q==" saltValue="Tm5QGMLmhcTEBtZ/iukSrQ==" spinCount="100000" sheet="1" objects="1" scenarios="1"/>
  <mergeCells count="1">
    <mergeCell ref="R1:V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AC6B4-BD06-49AC-8470-1E296DCAF8E1}">
  <dimension ref="A1:P82"/>
  <sheetViews>
    <sheetView zoomScale="70" zoomScaleNormal="70" workbookViewId="0">
      <selection activeCell="R24" sqref="R24"/>
    </sheetView>
  </sheetViews>
  <sheetFormatPr defaultColWidth="8.7265625" defaultRowHeight="14.5"/>
  <cols>
    <col min="1" max="1" width="6.26953125" style="11" customWidth="1"/>
    <col min="2" max="2" width="12.81640625" style="11" customWidth="1"/>
    <col min="3" max="4" width="6.26953125" style="11" customWidth="1"/>
    <col min="5" max="5" width="8.7265625" style="1"/>
    <col min="6" max="6" width="7.81640625" style="1" customWidth="1"/>
    <col min="7" max="15" width="8.7265625" style="1"/>
    <col min="16" max="16" width="20.453125" style="1" customWidth="1"/>
    <col min="17" max="16384" width="8.7265625" style="1"/>
  </cols>
  <sheetData>
    <row r="1" spans="5:16" ht="18.5">
      <c r="G1" s="3"/>
    </row>
    <row r="3" spans="5:16" ht="18.5">
      <c r="H3" s="2"/>
    </row>
    <row r="5" spans="5:16"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</row>
    <row r="6" spans="5:16"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</row>
    <row r="7" spans="5:16">
      <c r="E7" s="60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</row>
    <row r="8" spans="5:16"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</row>
    <row r="9" spans="5:16">
      <c r="E9" s="60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</row>
    <row r="10" spans="5:16"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</row>
    <row r="11" spans="5:16"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</row>
    <row r="12" spans="5:16"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</row>
    <row r="13" spans="5:16"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</row>
    <row r="14" spans="5:16"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</row>
    <row r="15" spans="5:16"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</row>
    <row r="16" spans="5:16"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</row>
    <row r="17" spans="5:16"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</row>
    <row r="18" spans="5:16"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</row>
    <row r="55" spans="4:4">
      <c r="D55" s="57"/>
    </row>
    <row r="56" spans="4:4">
      <c r="D56" s="57"/>
    </row>
    <row r="57" spans="4:4">
      <c r="D57" s="57"/>
    </row>
    <row r="58" spans="4:4">
      <c r="D58" s="57"/>
    </row>
    <row r="59" spans="4:4">
      <c r="D59" s="57"/>
    </row>
    <row r="60" spans="4:4">
      <c r="D60" s="57"/>
    </row>
    <row r="61" spans="4:4">
      <c r="D61" s="57"/>
    </row>
    <row r="62" spans="4:4">
      <c r="D62" s="57"/>
    </row>
    <row r="63" spans="4:4">
      <c r="D63" s="57"/>
    </row>
    <row r="64" spans="4:4">
      <c r="D64" s="57"/>
    </row>
    <row r="65" spans="4:4">
      <c r="D65" s="57"/>
    </row>
    <row r="66" spans="4:4">
      <c r="D66" s="57"/>
    </row>
    <row r="67" spans="4:4">
      <c r="D67" s="57"/>
    </row>
    <row r="68" spans="4:4">
      <c r="D68" s="57"/>
    </row>
    <row r="69" spans="4:4">
      <c r="D69" s="57"/>
    </row>
    <row r="70" spans="4:4">
      <c r="D70" s="57"/>
    </row>
    <row r="71" spans="4:4">
      <c r="D71" s="57"/>
    </row>
    <row r="72" spans="4:4">
      <c r="D72" s="57"/>
    </row>
    <row r="73" spans="4:4">
      <c r="D73" s="57"/>
    </row>
    <row r="74" spans="4:4">
      <c r="D74" s="57"/>
    </row>
    <row r="75" spans="4:4">
      <c r="D75" s="57"/>
    </row>
    <row r="76" spans="4:4">
      <c r="D76" s="57"/>
    </row>
    <row r="77" spans="4:4">
      <c r="D77" s="57"/>
    </row>
    <row r="78" spans="4:4">
      <c r="D78" s="57"/>
    </row>
    <row r="79" spans="4:4">
      <c r="D79" s="57"/>
    </row>
    <row r="80" spans="4:4">
      <c r="D80" s="57"/>
    </row>
    <row r="81" spans="4:4">
      <c r="D81" s="57"/>
    </row>
    <row r="82" spans="4:4">
      <c r="D82" s="5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B10ED-EDC9-481A-9E1C-7F34FA5677FE}">
  <dimension ref="A1"/>
  <sheetViews>
    <sheetView topLeftCell="A19" zoomScale="69" zoomScaleNormal="69" workbookViewId="0">
      <selection activeCell="X43" sqref="X43"/>
    </sheetView>
  </sheetViews>
  <sheetFormatPr defaultColWidth="9.1796875" defaultRowHeight="14.5"/>
  <cols>
    <col min="1" max="16384" width="9.1796875" style="1"/>
  </cols>
  <sheetData/>
  <sheetProtection algorithmName="SHA-512" hashValue="Sl8uhzjN8vxMRWGlWioAU1swkfRF7Vw8eVfYrRXSD18gKhpN5hlm6UWLuNST5bNDZY9wmYSxJvejbrICua5ATQ==" saltValue="RxBZtJ6xLRzMzIBTLze/W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C46F3-EEAC-46C8-9A45-2150110FCE1D}">
  <dimension ref="D1:BN103"/>
  <sheetViews>
    <sheetView showGridLines="0" zoomScale="82" zoomScaleNormal="82" workbookViewId="0">
      <selection activeCell="O1" sqref="O1"/>
    </sheetView>
  </sheetViews>
  <sheetFormatPr defaultColWidth="12.453125" defaultRowHeight="13" customHeight="1"/>
  <cols>
    <col min="1" max="3" width="8.453125" style="11" customWidth="1"/>
    <col min="4" max="4" width="9.1796875" style="11" customWidth="1"/>
    <col min="5" max="5" width="3.1796875" style="11" customWidth="1"/>
    <col min="6" max="6" width="42.81640625" style="11" customWidth="1"/>
    <col min="7" max="7" width="18.1796875" style="11" customWidth="1"/>
    <col min="8" max="8" width="11.54296875" style="11" hidden="1" customWidth="1"/>
    <col min="9" max="9" width="11" style="11" hidden="1" customWidth="1"/>
    <col min="10" max="10" width="11" style="11" customWidth="1"/>
    <col min="11" max="11" width="12.453125" style="11"/>
    <col min="12" max="15" width="11" style="11" customWidth="1"/>
    <col min="16" max="16" width="3.81640625" style="11" customWidth="1"/>
    <col min="17" max="17" width="11.1796875" style="11" customWidth="1"/>
    <col min="18" max="19" width="8.7265625" style="11" hidden="1" customWidth="1"/>
    <col min="20" max="23" width="8.7265625" style="14" hidden="1" customWidth="1"/>
    <col min="24" max="24" width="8.7265625" style="39" hidden="1" customWidth="1"/>
    <col min="25" max="28" width="8.7265625" style="14" hidden="1" customWidth="1"/>
    <col min="29" max="31" width="8.7265625" style="11" hidden="1" customWidth="1"/>
    <col min="32" max="35" width="8.7265625" style="14" hidden="1" customWidth="1"/>
    <col min="36" max="36" width="8.7265625" style="39" hidden="1" customWidth="1"/>
    <col min="37" max="40" width="8.7265625" style="14" hidden="1" customWidth="1"/>
    <col min="41" max="43" width="8.7265625" style="11" hidden="1" customWidth="1"/>
    <col min="44" max="47" width="8.7265625" style="14" hidden="1" customWidth="1"/>
    <col min="48" max="48" width="8.7265625" style="39" hidden="1" customWidth="1"/>
    <col min="49" max="52" width="8.7265625" style="14" hidden="1" customWidth="1"/>
    <col min="53" max="55" width="8.7265625" style="11" hidden="1" customWidth="1"/>
    <col min="56" max="59" width="8.7265625" style="14" hidden="1" customWidth="1"/>
    <col min="60" max="60" width="8.7265625" style="39" hidden="1" customWidth="1"/>
    <col min="61" max="64" width="8.7265625" style="14" hidden="1" customWidth="1"/>
    <col min="65" max="65" width="8.7265625" style="11" hidden="1" customWidth="1"/>
    <col min="66" max="66" width="12.54296875" style="11" customWidth="1"/>
    <col min="67" max="16384" width="12.453125" style="11"/>
  </cols>
  <sheetData>
    <row r="1" spans="5:65" ht="13" customHeight="1">
      <c r="G1" s="12"/>
      <c r="S1" s="13" t="s">
        <v>0</v>
      </c>
      <c r="T1" s="14" t="s">
        <v>1</v>
      </c>
      <c r="U1" s="14" t="s">
        <v>2</v>
      </c>
      <c r="V1" s="14" t="s">
        <v>3</v>
      </c>
      <c r="W1" s="14" t="s">
        <v>4</v>
      </c>
      <c r="X1" s="15" t="s">
        <v>5</v>
      </c>
      <c r="Y1" s="14" t="s">
        <v>6</v>
      </c>
      <c r="Z1" s="14" t="s">
        <v>7</v>
      </c>
      <c r="AC1" s="16" t="s">
        <v>8</v>
      </c>
      <c r="AD1" s="17"/>
      <c r="AE1" s="11" t="s">
        <v>9</v>
      </c>
      <c r="AF1" s="14" t="s">
        <v>1</v>
      </c>
      <c r="AH1" s="14" t="s">
        <v>3</v>
      </c>
      <c r="AI1" s="14" t="s">
        <v>4</v>
      </c>
      <c r="AJ1" s="15" t="s">
        <v>5</v>
      </c>
      <c r="AK1" s="14" t="s">
        <v>6</v>
      </c>
      <c r="AL1" s="14" t="s">
        <v>7</v>
      </c>
      <c r="AO1" s="16" t="s">
        <v>8</v>
      </c>
      <c r="AP1" s="18"/>
      <c r="AQ1" s="11" t="s">
        <v>10</v>
      </c>
      <c r="AR1" s="14" t="s">
        <v>1</v>
      </c>
      <c r="AT1" s="14" t="s">
        <v>3</v>
      </c>
      <c r="AU1" s="14" t="s">
        <v>4</v>
      </c>
      <c r="AV1" s="15" t="s">
        <v>5</v>
      </c>
      <c r="AW1" s="14" t="s">
        <v>6</v>
      </c>
      <c r="AX1" s="14" t="s">
        <v>7</v>
      </c>
      <c r="BA1" s="16" t="s">
        <v>8</v>
      </c>
      <c r="BC1" s="11" t="s">
        <v>11</v>
      </c>
      <c r="BD1" s="14" t="s">
        <v>1</v>
      </c>
      <c r="BF1" s="14" t="s">
        <v>3</v>
      </c>
      <c r="BG1" s="14" t="s">
        <v>4</v>
      </c>
      <c r="BH1" s="15" t="s">
        <v>5</v>
      </c>
      <c r="BI1" s="14" t="s">
        <v>6</v>
      </c>
      <c r="BJ1" s="14" t="s">
        <v>7</v>
      </c>
      <c r="BM1" s="16" t="s">
        <v>8</v>
      </c>
    </row>
    <row r="2" spans="5:65" ht="15.65" customHeight="1">
      <c r="E2" s="41"/>
      <c r="F2" s="42"/>
      <c r="G2" s="43"/>
      <c r="H2" s="42"/>
      <c r="I2" s="44"/>
      <c r="J2" s="44"/>
      <c r="K2" s="44"/>
      <c r="L2" s="44"/>
      <c r="M2" s="44"/>
      <c r="N2" s="44"/>
      <c r="O2" s="44"/>
      <c r="P2" s="45"/>
      <c r="R2" s="11" t="s">
        <v>12</v>
      </c>
      <c r="S2" s="11">
        <v>2023</v>
      </c>
      <c r="T2" s="19" t="s">
        <v>13</v>
      </c>
      <c r="U2" s="19"/>
      <c r="V2" s="19"/>
      <c r="W2" s="19"/>
      <c r="X2" s="20" t="s">
        <v>14</v>
      </c>
      <c r="Y2" s="19"/>
      <c r="Z2" s="19" t="s">
        <v>15</v>
      </c>
      <c r="AA2" s="19" t="s">
        <v>16</v>
      </c>
      <c r="AB2" s="19" t="s">
        <v>17</v>
      </c>
      <c r="AC2" s="16"/>
      <c r="AD2" s="21"/>
      <c r="AE2" s="11">
        <v>2023</v>
      </c>
      <c r="AF2" s="19" t="s">
        <v>13</v>
      </c>
      <c r="AG2" s="19"/>
      <c r="AH2" s="19"/>
      <c r="AI2" s="19"/>
      <c r="AJ2" s="20" t="s">
        <v>14</v>
      </c>
      <c r="AK2" s="19"/>
      <c r="AL2" s="19" t="s">
        <v>15</v>
      </c>
      <c r="AM2" s="19" t="s">
        <v>16</v>
      </c>
      <c r="AN2" s="19" t="s">
        <v>17</v>
      </c>
      <c r="AO2" s="16"/>
      <c r="AQ2" s="11">
        <v>2023</v>
      </c>
      <c r="AR2" s="19" t="s">
        <v>13</v>
      </c>
      <c r="AS2" s="19"/>
      <c r="AT2" s="19"/>
      <c r="AU2" s="19"/>
      <c r="AV2" s="20" t="s">
        <v>14</v>
      </c>
      <c r="AW2" s="19"/>
      <c r="AX2" s="19" t="s">
        <v>15</v>
      </c>
      <c r="AY2" s="19" t="s">
        <v>16</v>
      </c>
      <c r="AZ2" s="19" t="s">
        <v>17</v>
      </c>
      <c r="BA2" s="16"/>
      <c r="BC2" s="11">
        <v>2023</v>
      </c>
      <c r="BD2" s="19" t="s">
        <v>13</v>
      </c>
      <c r="BE2" s="19"/>
      <c r="BF2" s="19"/>
      <c r="BG2" s="19"/>
      <c r="BH2" s="20" t="s">
        <v>14</v>
      </c>
      <c r="BI2" s="19"/>
      <c r="BJ2" s="19" t="s">
        <v>15</v>
      </c>
      <c r="BK2" s="19" t="s">
        <v>16</v>
      </c>
      <c r="BL2" s="19" t="s">
        <v>17</v>
      </c>
      <c r="BM2" s="16"/>
    </row>
    <row r="3" spans="5:65" ht="25" customHeight="1">
      <c r="E3" s="46"/>
      <c r="F3" s="167" t="s">
        <v>18</v>
      </c>
      <c r="G3" s="167"/>
      <c r="H3" s="167"/>
      <c r="I3" s="167"/>
      <c r="J3" s="167"/>
      <c r="K3" s="167"/>
      <c r="L3" s="167"/>
      <c r="M3" s="167"/>
      <c r="N3" s="167"/>
      <c r="O3" s="167"/>
      <c r="P3" s="47"/>
      <c r="R3" s="1" t="s">
        <v>19</v>
      </c>
      <c r="T3" s="19" t="s">
        <v>20</v>
      </c>
      <c r="U3" s="22">
        <v>8.2103604932792701E-2</v>
      </c>
      <c r="V3" s="19">
        <v>4.9655471943481799E-2</v>
      </c>
      <c r="W3" s="23">
        <f>2.9322716047426*28/1000</f>
        <v>8.2103604932792812E-2</v>
      </c>
      <c r="X3" s="24">
        <f>1.31217903169408*28/1000</f>
        <v>3.6741012887434241E-2</v>
      </c>
      <c r="Y3" s="73">
        <v>0.13</v>
      </c>
      <c r="Z3" s="19">
        <v>1</v>
      </c>
      <c r="AA3" s="19">
        <f>IF((T3=H$12),Z3,"")</f>
        <v>1</v>
      </c>
      <c r="AB3" s="19">
        <f>IFERROR(SMALL(AA$3:AA$6,Z3),"")</f>
        <v>1</v>
      </c>
      <c r="AC3" s="25">
        <v>535372.15</v>
      </c>
      <c r="AD3" s="21">
        <f>AC3*1000</f>
        <v>535372150</v>
      </c>
      <c r="AF3" s="19" t="s">
        <v>20</v>
      </c>
      <c r="AG3" s="22">
        <v>8.2103604932792701E-2</v>
      </c>
      <c r="AH3" s="19">
        <v>4.9655471943481799E-2</v>
      </c>
      <c r="AI3" s="23">
        <f>2.9322716047426*28/1000</f>
        <v>8.2103604932792812E-2</v>
      </c>
      <c r="AJ3" s="24">
        <f>1.31217903169408*28/1000</f>
        <v>3.6741012887434241E-2</v>
      </c>
      <c r="AK3" s="73">
        <v>0.13</v>
      </c>
      <c r="AL3" s="19">
        <v>1</v>
      </c>
      <c r="AM3" s="19" t="str">
        <f>IF((AF3=H$22),AL3,"")</f>
        <v/>
      </c>
      <c r="AN3" s="19">
        <f>IFERROR(SMALL(AM$3:AM$6,AL3),"")</f>
        <v>3</v>
      </c>
      <c r="AO3" s="25">
        <v>535372.15</v>
      </c>
      <c r="AP3" s="26"/>
      <c r="AR3" s="19" t="s">
        <v>20</v>
      </c>
      <c r="AS3" s="22">
        <v>8.2103604932792701E-2</v>
      </c>
      <c r="AT3" s="19">
        <v>4.9655471943481799E-2</v>
      </c>
      <c r="AU3" s="23">
        <f>2.9322716047426*28/1000</f>
        <v>8.2103604932792812E-2</v>
      </c>
      <c r="AV3" s="24">
        <f>1.31217903169408*28/1000</f>
        <v>3.6741012887434241E-2</v>
      </c>
      <c r="AW3" s="73">
        <v>0.13</v>
      </c>
      <c r="AX3" s="19">
        <v>1</v>
      </c>
      <c r="AY3" s="19">
        <f>IF((AR3=H$32),AX3,"")</f>
        <v>1</v>
      </c>
      <c r="AZ3" s="19">
        <f>IFERROR(SMALL(AY$3:AY$6,AX3),"")</f>
        <v>1</v>
      </c>
      <c r="BA3" s="25">
        <v>535372.15</v>
      </c>
      <c r="BD3" s="19" t="s">
        <v>20</v>
      </c>
      <c r="BE3" s="22">
        <v>8.2103604932792701E-2</v>
      </c>
      <c r="BF3" s="19">
        <v>4.9655471943481799E-2</v>
      </c>
      <c r="BG3" s="23">
        <f>2.9322716047426*28/1000</f>
        <v>8.2103604932792812E-2</v>
      </c>
      <c r="BH3" s="24">
        <f>1.31217903169408*28/1000</f>
        <v>3.6741012887434241E-2</v>
      </c>
      <c r="BI3" s="73">
        <v>0.13</v>
      </c>
      <c r="BJ3" s="19">
        <v>1</v>
      </c>
      <c r="BK3" s="19" t="str">
        <f>IF((BD3=H$42),BJ3,"")</f>
        <v/>
      </c>
      <c r="BL3" s="19">
        <f>IFERROR(SMALL(BK$3:BK$6,BJ3),"")</f>
        <v>2</v>
      </c>
      <c r="BM3" s="25">
        <v>535372.15</v>
      </c>
    </row>
    <row r="4" spans="5:65" ht="13" customHeight="1" thickBot="1">
      <c r="E4" s="46"/>
      <c r="F4" s="168"/>
      <c r="G4" s="169"/>
      <c r="H4" s="169"/>
      <c r="I4" s="169"/>
      <c r="J4" s="169"/>
      <c r="K4" s="169"/>
      <c r="L4" s="169"/>
      <c r="M4" s="169"/>
      <c r="N4" s="169"/>
      <c r="O4" s="169"/>
      <c r="P4" s="47"/>
      <c r="R4" s="1" t="s">
        <v>21</v>
      </c>
      <c r="T4" s="1" t="s">
        <v>19</v>
      </c>
      <c r="U4" s="22">
        <v>0.39281761236668428</v>
      </c>
      <c r="V4" s="14">
        <v>0.29475936000473624</v>
      </c>
      <c r="W4" s="22">
        <f>14.0292004416673*28/1000</f>
        <v>0.39281761236668439</v>
      </c>
      <c r="X4" s="23">
        <f>134.046865982489*28/1000</f>
        <v>3.7533122475096925</v>
      </c>
      <c r="Y4" s="73">
        <v>4.17</v>
      </c>
      <c r="Z4" s="19">
        <v>2</v>
      </c>
      <c r="AA4" s="19" t="str">
        <f>IF((T4=H$12),Z4,"")</f>
        <v/>
      </c>
      <c r="AB4" s="19" t="str">
        <f t="shared" ref="AB4:AB6" si="0">IFERROR(SMALL(AA$18:AA$21,Z4),"")</f>
        <v/>
      </c>
      <c r="AC4" s="25">
        <v>224402.25418018678</v>
      </c>
      <c r="AD4" s="21"/>
      <c r="AF4" s="1" t="s">
        <v>19</v>
      </c>
      <c r="AG4" s="22">
        <v>0.39281761236668428</v>
      </c>
      <c r="AH4" s="14">
        <v>0.29475936000473624</v>
      </c>
      <c r="AI4" s="22">
        <f>14.0292004416673*28/1000</f>
        <v>0.39281761236668439</v>
      </c>
      <c r="AJ4" s="23">
        <f>134.046865982489*28/1000</f>
        <v>3.7533122475096925</v>
      </c>
      <c r="AK4" s="73">
        <v>4.17</v>
      </c>
      <c r="AL4" s="19">
        <v>2</v>
      </c>
      <c r="AM4" s="19" t="str">
        <f>IF((AF4=H$22),AL4,"")</f>
        <v/>
      </c>
      <c r="AN4" s="19" t="str">
        <f t="shared" ref="AN4:AN6" si="1">IFERROR(SMALL(AM$18:AM$21,AL4),"")</f>
        <v/>
      </c>
      <c r="AO4" s="25">
        <v>224402.25418018678</v>
      </c>
      <c r="AP4" s="18"/>
      <c r="AR4" s="23" t="s">
        <v>19</v>
      </c>
      <c r="AS4" s="22">
        <v>0.39281761236668428</v>
      </c>
      <c r="AT4" s="14">
        <v>0.29475936000473624</v>
      </c>
      <c r="AU4" s="22">
        <f>14.0292004416673*28/1000</f>
        <v>0.39281761236668439</v>
      </c>
      <c r="AV4" s="23">
        <f>134.046865982489*28/1000</f>
        <v>3.7533122475096925</v>
      </c>
      <c r="AW4" s="73">
        <v>4.17</v>
      </c>
      <c r="AX4" s="19">
        <v>2</v>
      </c>
      <c r="AY4" s="19" t="str">
        <f>IF((AR4=H$32),AX4,"")</f>
        <v/>
      </c>
      <c r="AZ4" s="19" t="str">
        <f t="shared" ref="AZ4:AZ6" si="2">IFERROR(SMALL(AY$18:AY$21,AX4),"")</f>
        <v/>
      </c>
      <c r="BA4" s="25">
        <v>224402.25418018678</v>
      </c>
      <c r="BD4" s="23" t="s">
        <v>19</v>
      </c>
      <c r="BE4" s="22">
        <v>0.39281761236668428</v>
      </c>
      <c r="BF4" s="14">
        <v>0.29475936000473624</v>
      </c>
      <c r="BG4" s="22">
        <f>14.0292004416673*28/1000</f>
        <v>0.39281761236668439</v>
      </c>
      <c r="BH4" s="23">
        <f>134.046865982489*28/1000</f>
        <v>3.7533122475096925</v>
      </c>
      <c r="BI4" s="73">
        <v>4.17</v>
      </c>
      <c r="BJ4" s="19">
        <v>2</v>
      </c>
      <c r="BK4" s="19">
        <f>IF((BD4=H$42),BJ4,"")</f>
        <v>2</v>
      </c>
      <c r="BL4" s="19" t="str">
        <f t="shared" ref="BL4:BL6" si="3">IFERROR(SMALL(BK$18:BK$21,BJ4),"")</f>
        <v/>
      </c>
      <c r="BM4" s="25">
        <v>224402.25418018678</v>
      </c>
    </row>
    <row r="5" spans="5:65" ht="34.5" customHeight="1" thickTop="1" thickBot="1">
      <c r="E5" s="46"/>
      <c r="F5" s="77" t="s">
        <v>22</v>
      </c>
      <c r="G5" s="76" t="s">
        <v>23</v>
      </c>
      <c r="H5" s="78">
        <v>2023</v>
      </c>
      <c r="I5" s="79">
        <v>2024</v>
      </c>
      <c r="J5" s="78">
        <v>2025</v>
      </c>
      <c r="K5" s="78">
        <v>2026</v>
      </c>
      <c r="L5" s="80">
        <v>2027</v>
      </c>
      <c r="M5" s="79">
        <v>2028</v>
      </c>
      <c r="N5" s="78">
        <v>2029</v>
      </c>
      <c r="O5" s="80">
        <v>2030</v>
      </c>
      <c r="P5" s="75"/>
      <c r="R5" s="1" t="s">
        <v>20</v>
      </c>
      <c r="T5" s="1" t="s">
        <v>21</v>
      </c>
      <c r="U5" s="27">
        <v>0.31283252150160101</v>
      </c>
      <c r="V5" s="19">
        <v>0.17034330543283976</v>
      </c>
      <c r="W5" s="23">
        <f>6.48509546054458*28/1000</f>
        <v>0.18158267289524824</v>
      </c>
      <c r="X5" s="28">
        <f>58.7044372035265*28/1000</f>
        <v>1.6437242416987421</v>
      </c>
      <c r="Y5" s="73">
        <v>2.23</v>
      </c>
      <c r="Z5" s="19">
        <v>3</v>
      </c>
      <c r="AA5" s="19" t="str">
        <f>IF((T5=H$12),Z5,"")</f>
        <v/>
      </c>
      <c r="AB5" s="19" t="str">
        <f t="shared" si="0"/>
        <v/>
      </c>
      <c r="AC5" s="25">
        <v>411850.5</v>
      </c>
      <c r="AD5" s="21"/>
      <c r="AF5" s="1" t="s">
        <v>21</v>
      </c>
      <c r="AG5" s="27">
        <v>0.31283252150160101</v>
      </c>
      <c r="AH5" s="19">
        <v>0.17034330543283976</v>
      </c>
      <c r="AI5" s="23">
        <f>6.48509546054458*28/1000</f>
        <v>0.18158267289524824</v>
      </c>
      <c r="AJ5" s="28">
        <f>58.7044372035265*28/1000</f>
        <v>1.6437242416987421</v>
      </c>
      <c r="AK5" s="73">
        <v>2.23</v>
      </c>
      <c r="AL5" s="19">
        <v>3</v>
      </c>
      <c r="AM5" s="19">
        <f>IF((AF5=H$22),AL5,"")</f>
        <v>3</v>
      </c>
      <c r="AN5" s="19" t="str">
        <f t="shared" si="1"/>
        <v/>
      </c>
      <c r="AO5" s="25">
        <v>411850.5</v>
      </c>
      <c r="AP5" s="18"/>
      <c r="AR5" s="23" t="s">
        <v>21</v>
      </c>
      <c r="AS5" s="27">
        <v>0.31283252150160101</v>
      </c>
      <c r="AT5" s="19">
        <v>0.17034330543283976</v>
      </c>
      <c r="AU5" s="23">
        <f>6.48509546054458*28/1000</f>
        <v>0.18158267289524824</v>
      </c>
      <c r="AV5" s="28">
        <f>58.7044372035265*28/1000</f>
        <v>1.6437242416987421</v>
      </c>
      <c r="AW5" s="73">
        <v>2.23</v>
      </c>
      <c r="AX5" s="19">
        <v>3</v>
      </c>
      <c r="AY5" s="19" t="str">
        <f>IF((AR5=H$32),AX5,"")</f>
        <v/>
      </c>
      <c r="AZ5" s="19" t="str">
        <f t="shared" si="2"/>
        <v/>
      </c>
      <c r="BA5" s="25">
        <v>411850.5</v>
      </c>
      <c r="BD5" s="23" t="s">
        <v>21</v>
      </c>
      <c r="BE5" s="27">
        <v>0.31283252150160101</v>
      </c>
      <c r="BF5" s="19">
        <v>0.17034330543283976</v>
      </c>
      <c r="BG5" s="23">
        <f>6.48509546054458*28/1000</f>
        <v>0.18158267289524824</v>
      </c>
      <c r="BH5" s="28">
        <f>58.7044372035265*28/1000</f>
        <v>1.6437242416987421</v>
      </c>
      <c r="BI5" s="73">
        <v>2.23</v>
      </c>
      <c r="BJ5" s="19">
        <v>3</v>
      </c>
      <c r="BK5" s="19" t="str">
        <f>IF((BD5=H$42),BJ5,"")</f>
        <v/>
      </c>
      <c r="BL5" s="19" t="str">
        <f t="shared" si="3"/>
        <v/>
      </c>
      <c r="BM5" s="25">
        <v>411850.5</v>
      </c>
    </row>
    <row r="6" spans="5:65" ht="15" hidden="1" customHeight="1" thickTop="1">
      <c r="E6" s="46"/>
      <c r="F6" s="105"/>
      <c r="G6" s="106"/>
      <c r="H6" s="107"/>
      <c r="I6" s="108"/>
      <c r="J6" s="108"/>
      <c r="K6" s="108"/>
      <c r="L6" s="108"/>
      <c r="M6" s="108"/>
      <c r="N6" s="108"/>
      <c r="O6" s="108"/>
      <c r="P6" s="48"/>
      <c r="R6" s="1" t="s">
        <v>24</v>
      </c>
      <c r="T6" s="19" t="s">
        <v>24</v>
      </c>
      <c r="U6" s="19">
        <v>1.1455503509307671E-2</v>
      </c>
      <c r="V6" s="19">
        <v>3.1343906953592432E-2</v>
      </c>
      <c r="W6" s="23">
        <f>0.409125125332417*28/1000</f>
        <v>1.1455503509307676E-2</v>
      </c>
      <c r="X6" s="29">
        <f>10.1429906244724*28/1000</f>
        <v>0.28400373748522717</v>
      </c>
      <c r="Y6" s="73">
        <v>0.31</v>
      </c>
      <c r="Z6" s="19">
        <v>4</v>
      </c>
      <c r="AA6" s="19" t="str">
        <f>IF((T6=H$12),Z6,"")</f>
        <v/>
      </c>
      <c r="AB6" s="19" t="str">
        <f t="shared" si="0"/>
        <v/>
      </c>
      <c r="AC6" s="25">
        <v>136839.5</v>
      </c>
      <c r="AD6" s="21"/>
      <c r="AF6" s="19" t="s">
        <v>24</v>
      </c>
      <c r="AG6" s="19">
        <v>1.1455503509307671E-2</v>
      </c>
      <c r="AH6" s="19">
        <v>3.1343906953592432E-2</v>
      </c>
      <c r="AI6" s="23">
        <f>0.409125125332417*28/1000</f>
        <v>1.1455503509307676E-2</v>
      </c>
      <c r="AJ6" s="29">
        <f>10.1429906244724*28/1000</f>
        <v>0.28400373748522717</v>
      </c>
      <c r="AK6" s="73">
        <v>0.31</v>
      </c>
      <c r="AL6" s="19">
        <v>4</v>
      </c>
      <c r="AM6" s="19" t="str">
        <f>IF((AF6=H$22),AL6,"")</f>
        <v/>
      </c>
      <c r="AN6" s="19" t="str">
        <f t="shared" si="1"/>
        <v/>
      </c>
      <c r="AO6" s="25">
        <v>136839.5</v>
      </c>
      <c r="AP6" s="18"/>
      <c r="AR6" s="19" t="s">
        <v>24</v>
      </c>
      <c r="AS6" s="19">
        <v>1.1455503509307671E-2</v>
      </c>
      <c r="AT6" s="19">
        <v>3.1343906953592432E-2</v>
      </c>
      <c r="AU6" s="23">
        <f>0.409125125332417*28/1000</f>
        <v>1.1455503509307676E-2</v>
      </c>
      <c r="AV6" s="29">
        <f>10.1429906244724*28/1000</f>
        <v>0.28400373748522717</v>
      </c>
      <c r="AW6" s="73">
        <v>0.31</v>
      </c>
      <c r="AX6" s="19">
        <v>4</v>
      </c>
      <c r="AY6" s="19" t="str">
        <f>IF((AR6=H$32),AX6,"")</f>
        <v/>
      </c>
      <c r="AZ6" s="19" t="str">
        <f t="shared" si="2"/>
        <v/>
      </c>
      <c r="BA6" s="25">
        <v>136839.5</v>
      </c>
      <c r="BD6" s="19" t="s">
        <v>24</v>
      </c>
      <c r="BE6" s="19">
        <v>1.1455503509307671E-2</v>
      </c>
      <c r="BF6" s="19">
        <v>3.1343906953592432E-2</v>
      </c>
      <c r="BG6" s="23">
        <f>0.409125125332417*28/1000</f>
        <v>1.1455503509307676E-2</v>
      </c>
      <c r="BH6" s="29">
        <f>10.1429906244724*28/1000</f>
        <v>0.28400373748522717</v>
      </c>
      <c r="BI6" s="73">
        <v>0.31</v>
      </c>
      <c r="BJ6" s="19">
        <v>4</v>
      </c>
      <c r="BK6" s="19" t="str">
        <f>IF((BD6=H$42),BJ6,"")</f>
        <v/>
      </c>
      <c r="BL6" s="19" t="str">
        <f t="shared" si="3"/>
        <v/>
      </c>
      <c r="BM6" s="25">
        <v>136839.5</v>
      </c>
    </row>
    <row r="7" spans="5:65" ht="37.5" customHeight="1" thickTop="1">
      <c r="E7" s="46"/>
      <c r="F7" s="81" t="s">
        <v>25</v>
      </c>
      <c r="G7" s="82" t="s">
        <v>26</v>
      </c>
      <c r="H7" s="109">
        <v>535372</v>
      </c>
      <c r="I7" s="110"/>
      <c r="J7" s="110"/>
      <c r="K7" s="110"/>
      <c r="L7" s="110"/>
      <c r="M7" s="110"/>
      <c r="N7" s="110"/>
      <c r="O7" s="110"/>
      <c r="P7" s="47"/>
      <c r="R7" s="30" t="s">
        <v>27</v>
      </c>
      <c r="T7" s="31" t="s">
        <v>27</v>
      </c>
      <c r="U7" s="31"/>
      <c r="V7" s="19"/>
      <c r="W7" s="19"/>
      <c r="X7" s="32"/>
      <c r="Y7" s="19"/>
      <c r="Z7" s="19"/>
      <c r="AA7" s="19"/>
      <c r="AB7" s="19"/>
      <c r="AC7" s="16"/>
      <c r="AD7" s="21"/>
      <c r="AF7" s="31" t="s">
        <v>27</v>
      </c>
      <c r="AG7" s="31"/>
      <c r="AH7" s="19"/>
      <c r="AI7" s="19"/>
      <c r="AJ7" s="32"/>
      <c r="AK7" s="19"/>
      <c r="AL7" s="19"/>
      <c r="AM7" s="19"/>
      <c r="AN7" s="19"/>
      <c r="AO7" s="16"/>
      <c r="AP7" s="18"/>
      <c r="AR7" s="31" t="s">
        <v>27</v>
      </c>
      <c r="AS7" s="31"/>
      <c r="AT7" s="19"/>
      <c r="AU7" s="19"/>
      <c r="AV7" s="32"/>
      <c r="AW7" s="19"/>
      <c r="AX7" s="19"/>
      <c r="AY7" s="19"/>
      <c r="AZ7" s="19"/>
      <c r="BA7" s="16"/>
      <c r="BD7" s="31" t="s">
        <v>27</v>
      </c>
      <c r="BE7" s="31"/>
      <c r="BF7" s="19"/>
      <c r="BG7" s="19"/>
      <c r="BH7" s="32"/>
      <c r="BI7" s="19"/>
      <c r="BJ7" s="19"/>
      <c r="BK7" s="19"/>
      <c r="BL7" s="19"/>
      <c r="BM7" s="16"/>
    </row>
    <row r="8" spans="5:65" ht="34.5" customHeight="1" thickBot="1">
      <c r="E8" s="46"/>
      <c r="F8" s="83" t="s">
        <v>28</v>
      </c>
      <c r="G8" s="84" t="s">
        <v>23</v>
      </c>
      <c r="H8" s="111" cm="1">
        <f t="array" ref="H8">IFERROR(INDEX($AC$3:$AC$6,$AB$3,COLUMNS(H8)),"")</f>
        <v>535372.15</v>
      </c>
      <c r="I8" s="112" cm="1">
        <f t="array" ref="I8">IFERROR(INDEX($AC$11:$AC$14,$AB$11,COLUMNS(I8)),"")</f>
        <v>137325.85</v>
      </c>
      <c r="J8" s="112" cm="1">
        <f t="array" ref="J8">IFERROR(INDEX($AC$18:$AC$21,$AB$18,COLUMNS(J8)),"")</f>
        <v>570586</v>
      </c>
      <c r="K8" s="112" cm="1">
        <f t="array" ref="K8">IFERROR(INDEX($AC$26:$AC$29,$AB$26,COLUMNS(K8)),"")</f>
        <v>152413.16353827715</v>
      </c>
      <c r="L8" s="112" cm="1">
        <f t="array" ref="L8">IFERROR(INDEX($AC$34:$AC$37,$AB$34,COLUMNS(L8)),"")</f>
        <v>560560.30000000005</v>
      </c>
      <c r="M8" s="112" cm="1">
        <f t="array" ref="M8">IFERROR(INDEX($AC$42:$AC$45,$AB$42,COLUMNS(M8)),"")</f>
        <v>152413.16353827715</v>
      </c>
      <c r="N8" s="112" cm="1">
        <f t="array" ref="N8">IFERROR(INDEX($AC$49:$AC$53,$AB$49,COLUMNS(N8)),"")</f>
        <v>550534.60000000021</v>
      </c>
      <c r="O8" s="112" cm="1">
        <f t="array" ref="O8">IFERROR(INDEX($AC$57:$AC$60,$AB$57,COLUMNS(O8)),"")</f>
        <v>152413.16353827715</v>
      </c>
      <c r="P8" s="49"/>
      <c r="Q8" s="33"/>
      <c r="R8" s="26"/>
      <c r="T8" s="19"/>
      <c r="U8" s="19"/>
      <c r="V8" s="19"/>
      <c r="W8" s="19"/>
      <c r="X8" s="15"/>
      <c r="Y8" s="19"/>
      <c r="Z8" s="19"/>
      <c r="AA8" s="19"/>
      <c r="AB8" s="19"/>
      <c r="AC8" s="16"/>
      <c r="AD8" s="21"/>
      <c r="AF8" s="19"/>
      <c r="AG8" s="19"/>
      <c r="AH8" s="19"/>
      <c r="AI8" s="19"/>
      <c r="AJ8" s="15"/>
      <c r="AK8" s="19"/>
      <c r="AL8" s="19"/>
      <c r="AM8" s="19"/>
      <c r="AN8" s="19"/>
      <c r="AO8" s="16"/>
      <c r="AP8" s="18"/>
      <c r="AR8" s="19"/>
      <c r="AS8" s="19"/>
      <c r="AT8" s="19"/>
      <c r="AU8" s="19"/>
      <c r="AV8" s="15"/>
      <c r="AW8" s="19"/>
      <c r="AX8" s="19"/>
      <c r="AY8" s="19"/>
      <c r="AZ8" s="19"/>
      <c r="BA8" s="16"/>
      <c r="BD8" s="19"/>
      <c r="BE8" s="19"/>
      <c r="BF8" s="19"/>
      <c r="BG8" s="19"/>
      <c r="BH8" s="15"/>
      <c r="BI8" s="19"/>
      <c r="BJ8" s="19"/>
      <c r="BK8" s="19"/>
      <c r="BL8" s="19"/>
      <c r="BM8" s="16"/>
    </row>
    <row r="9" spans="5:65" ht="15" hidden="1" customHeight="1">
      <c r="E9" s="46"/>
      <c r="F9" s="106"/>
      <c r="G9" s="105"/>
      <c r="H9" s="113"/>
      <c r="I9" s="113"/>
      <c r="J9" s="113"/>
      <c r="K9" s="114"/>
      <c r="L9" s="114"/>
      <c r="M9" s="114"/>
      <c r="N9" s="114"/>
      <c r="O9" s="114"/>
      <c r="P9" s="47"/>
      <c r="Q9" s="33"/>
      <c r="R9" s="26"/>
      <c r="T9" s="14" t="s">
        <v>1</v>
      </c>
      <c r="V9" s="14" t="s">
        <v>3</v>
      </c>
      <c r="X9" s="15" t="s">
        <v>5</v>
      </c>
      <c r="Y9" s="14" t="s">
        <v>7</v>
      </c>
      <c r="AC9" s="16"/>
      <c r="AD9" s="21"/>
      <c r="AF9" s="14" t="s">
        <v>1</v>
      </c>
      <c r="AH9" s="14" t="s">
        <v>3</v>
      </c>
      <c r="AJ9" s="15" t="s">
        <v>5</v>
      </c>
      <c r="AK9" s="14" t="s">
        <v>7</v>
      </c>
      <c r="AO9" s="16"/>
      <c r="AR9" s="14" t="s">
        <v>1</v>
      </c>
      <c r="AT9" s="14" t="s">
        <v>3</v>
      </c>
      <c r="AV9" s="15" t="s">
        <v>5</v>
      </c>
      <c r="AW9" s="14" t="s">
        <v>7</v>
      </c>
      <c r="BA9" s="16"/>
      <c r="BD9" s="14" t="s">
        <v>1</v>
      </c>
      <c r="BF9" s="14" t="s">
        <v>3</v>
      </c>
      <c r="BH9" s="15" t="s">
        <v>5</v>
      </c>
      <c r="BI9" s="14" t="s">
        <v>7</v>
      </c>
      <c r="BM9" s="16"/>
    </row>
    <row r="10" spans="5:65" ht="35.25" customHeight="1">
      <c r="E10" s="46"/>
      <c r="F10" s="85" t="s">
        <v>29</v>
      </c>
      <c r="G10" s="86" t="s">
        <v>26</v>
      </c>
      <c r="H10" s="109">
        <v>25000</v>
      </c>
      <c r="I10" s="109"/>
      <c r="J10" s="109"/>
      <c r="K10" s="109"/>
      <c r="L10" s="109"/>
      <c r="M10" s="109"/>
      <c r="N10" s="109"/>
      <c r="O10" s="109"/>
      <c r="P10" s="47"/>
      <c r="Q10" s="33"/>
      <c r="R10" s="26"/>
      <c r="S10" s="11">
        <v>2024</v>
      </c>
      <c r="T10" s="19" t="s">
        <v>13</v>
      </c>
      <c r="U10" s="19"/>
      <c r="V10" s="19"/>
      <c r="W10" s="19"/>
      <c r="X10" s="20" t="s">
        <v>14</v>
      </c>
      <c r="Y10" s="19"/>
      <c r="Z10" s="19" t="s">
        <v>15</v>
      </c>
      <c r="AA10" s="19" t="s">
        <v>16</v>
      </c>
      <c r="AB10" s="19" t="s">
        <v>17</v>
      </c>
      <c r="AC10" s="16"/>
      <c r="AD10" s="21"/>
      <c r="AE10" s="11">
        <v>2024</v>
      </c>
      <c r="AF10" s="19" t="s">
        <v>13</v>
      </c>
      <c r="AG10" s="19"/>
      <c r="AH10" s="19"/>
      <c r="AI10" s="19"/>
      <c r="AJ10" s="20" t="s">
        <v>14</v>
      </c>
      <c r="AK10" s="19"/>
      <c r="AL10" s="19" t="s">
        <v>15</v>
      </c>
      <c r="AM10" s="19" t="s">
        <v>16</v>
      </c>
      <c r="AN10" s="19" t="s">
        <v>17</v>
      </c>
      <c r="AO10" s="16"/>
      <c r="AQ10" s="11">
        <v>2024</v>
      </c>
      <c r="AR10" s="19" t="s">
        <v>13</v>
      </c>
      <c r="AS10" s="19"/>
      <c r="AT10" s="19"/>
      <c r="AU10" s="19"/>
      <c r="AV10" s="20" t="s">
        <v>14</v>
      </c>
      <c r="AW10" s="19"/>
      <c r="AX10" s="19" t="s">
        <v>15</v>
      </c>
      <c r="AY10" s="19" t="s">
        <v>16</v>
      </c>
      <c r="AZ10" s="19" t="s">
        <v>17</v>
      </c>
      <c r="BA10" s="16"/>
      <c r="BC10" s="11">
        <v>2024</v>
      </c>
      <c r="BD10" s="19" t="s">
        <v>13</v>
      </c>
      <c r="BE10" s="19"/>
      <c r="BF10" s="19"/>
      <c r="BG10" s="19"/>
      <c r="BH10" s="20" t="s">
        <v>14</v>
      </c>
      <c r="BI10" s="19"/>
      <c r="BJ10" s="19" t="s">
        <v>15</v>
      </c>
      <c r="BK10" s="19" t="s">
        <v>16</v>
      </c>
      <c r="BL10" s="19" t="s">
        <v>17</v>
      </c>
      <c r="BM10" s="16"/>
    </row>
    <row r="11" spans="5:65" ht="13" hidden="1" customHeight="1">
      <c r="E11" s="46"/>
      <c r="F11" s="106"/>
      <c r="G11" s="105"/>
      <c r="H11" s="115"/>
      <c r="I11" s="116"/>
      <c r="J11" s="116"/>
      <c r="K11" s="115"/>
      <c r="L11" s="115"/>
      <c r="M11" s="115"/>
      <c r="N11" s="115"/>
      <c r="O11" s="115"/>
      <c r="P11" s="47"/>
      <c r="Q11" s="33"/>
      <c r="R11" s="21"/>
      <c r="T11" s="19" t="s">
        <v>20</v>
      </c>
      <c r="U11" s="22">
        <v>7.7353605217716254E-2</v>
      </c>
      <c r="V11" s="19">
        <v>5.04547972316267E-2</v>
      </c>
      <c r="W11" s="23">
        <f>2.76262875777558*28/1000</f>
        <v>7.735360521771624E-2</v>
      </c>
      <c r="X11" s="24">
        <f>1.31217903169408*28/1000</f>
        <v>3.6741012887434241E-2</v>
      </c>
      <c r="Y11" s="73">
        <v>0.13</v>
      </c>
      <c r="Z11" s="19">
        <v>1</v>
      </c>
      <c r="AA11" s="19" t="str">
        <f>IF((T11=I$12),Z11,"")</f>
        <v/>
      </c>
      <c r="AB11" s="19">
        <f>IFERROR(SMALL(AA$11:AA$14,Z11),"")</f>
        <v>4</v>
      </c>
      <c r="AC11" s="25">
        <v>552219.05000000005</v>
      </c>
      <c r="AD11" s="21"/>
      <c r="AF11" s="19" t="s">
        <v>20</v>
      </c>
      <c r="AG11" s="22">
        <v>7.7353605217716254E-2</v>
      </c>
      <c r="AH11" s="19">
        <v>5.04547972316267E-2</v>
      </c>
      <c r="AI11" s="23">
        <f>2.76262875777558*28/1000</f>
        <v>7.735360521771624E-2</v>
      </c>
      <c r="AJ11" s="24">
        <f>1.31217903169408*28/1000</f>
        <v>3.6741012887434241E-2</v>
      </c>
      <c r="AK11" s="73">
        <v>0.13</v>
      </c>
      <c r="AL11" s="19">
        <v>1</v>
      </c>
      <c r="AM11" s="19" t="str">
        <f>IF((AF11=I$22),AL11,"")</f>
        <v/>
      </c>
      <c r="AN11" s="19">
        <f>IFERROR(SMALL(AM$11:AM$14,AL11),"")</f>
        <v>4</v>
      </c>
      <c r="AO11" s="25">
        <v>552219.05000000005</v>
      </c>
      <c r="AR11" s="19" t="s">
        <v>20</v>
      </c>
      <c r="AS11" s="22">
        <v>7.7353605217716254E-2</v>
      </c>
      <c r="AT11" s="19">
        <v>5.04547972316267E-2</v>
      </c>
      <c r="AU11" s="23">
        <f>2.76262875777558*28/1000</f>
        <v>7.735360521771624E-2</v>
      </c>
      <c r="AV11" s="24">
        <f>1.31217903169408*28/1000</f>
        <v>3.6741012887434241E-2</v>
      </c>
      <c r="AW11" s="73">
        <v>0.13</v>
      </c>
      <c r="AX11" s="19">
        <v>1</v>
      </c>
      <c r="AY11" s="19" t="str">
        <f>IF((AR11=I$32),AX11,"")</f>
        <v/>
      </c>
      <c r="AZ11" s="19">
        <f>IFERROR(SMALL(AY$11:AY$14,AX11),"")</f>
        <v>4</v>
      </c>
      <c r="BA11" s="25">
        <v>552219.05000000005</v>
      </c>
      <c r="BD11" s="19" t="s">
        <v>20</v>
      </c>
      <c r="BE11" s="22">
        <v>7.7353605217716254E-2</v>
      </c>
      <c r="BF11" s="19">
        <v>5.04547972316267E-2</v>
      </c>
      <c r="BG11" s="23">
        <f>2.76262875777558*28/1000</f>
        <v>7.735360521771624E-2</v>
      </c>
      <c r="BH11" s="24">
        <f>1.31217903169408*28/1000</f>
        <v>3.6741012887434241E-2</v>
      </c>
      <c r="BI11" s="73">
        <v>0.13</v>
      </c>
      <c r="BJ11" s="19">
        <v>1</v>
      </c>
      <c r="BK11" s="19" t="str">
        <f>IF((BD11=I$42),BJ11,"")</f>
        <v/>
      </c>
      <c r="BL11" s="19">
        <f>IFERROR(SMALL(BK$11:BK$14,BJ11),"")</f>
        <v>3</v>
      </c>
      <c r="BM11" s="25">
        <v>552219.05000000005</v>
      </c>
    </row>
    <row r="12" spans="5:65" ht="37.5" customHeight="1" thickBot="1">
      <c r="E12" s="46"/>
      <c r="F12" s="87" t="s">
        <v>30</v>
      </c>
      <c r="G12" s="88" t="s">
        <v>31</v>
      </c>
      <c r="H12" s="117" t="s">
        <v>20</v>
      </c>
      <c r="I12" s="118" t="s">
        <v>24</v>
      </c>
      <c r="J12" s="118" t="s">
        <v>20</v>
      </c>
      <c r="K12" s="118" t="s">
        <v>24</v>
      </c>
      <c r="L12" s="118" t="s">
        <v>20</v>
      </c>
      <c r="M12" s="118" t="s">
        <v>24</v>
      </c>
      <c r="N12" s="118" t="s">
        <v>20</v>
      </c>
      <c r="O12" s="118" t="s">
        <v>24</v>
      </c>
      <c r="P12" s="49"/>
      <c r="Q12" s="33"/>
      <c r="R12" s="21"/>
      <c r="T12" s="1" t="s">
        <v>19</v>
      </c>
      <c r="U12" s="22">
        <v>0.38884686154939307</v>
      </c>
      <c r="V12" s="14">
        <v>0.30234587346253589</v>
      </c>
      <c r="W12" s="22">
        <f>13.8873879124783*28/1000</f>
        <v>0.38884686154939235</v>
      </c>
      <c r="X12" s="23">
        <f>134.939040717518*28/1000</f>
        <v>3.7782931400905042</v>
      </c>
      <c r="Y12" s="73">
        <v>4.17</v>
      </c>
      <c r="Z12" s="19">
        <v>2</v>
      </c>
      <c r="AA12" s="19" t="str">
        <f>IF((T12=I$12),Z12,"")</f>
        <v/>
      </c>
      <c r="AB12" s="19" t="str">
        <f t="shared" ref="AB12:AB14" si="4">IFERROR(SMALL(AA$18:AA$21,Z12),"")</f>
        <v/>
      </c>
      <c r="AC12" s="25">
        <v>222036.99640521762</v>
      </c>
      <c r="AD12" s="21"/>
      <c r="AF12" s="1" t="s">
        <v>19</v>
      </c>
      <c r="AG12" s="22">
        <v>0.38884686154939307</v>
      </c>
      <c r="AH12" s="14">
        <v>0.30234587346253589</v>
      </c>
      <c r="AI12" s="22">
        <f>13.8873879124783*28/1000</f>
        <v>0.38884686154939235</v>
      </c>
      <c r="AJ12" s="23">
        <f>134.939040717518*28/1000</f>
        <v>3.7782931400905042</v>
      </c>
      <c r="AK12" s="73">
        <v>4.17</v>
      </c>
      <c r="AL12" s="19">
        <v>2</v>
      </c>
      <c r="AM12" s="19" t="str">
        <f>IF((AF12=I$22),AL12,"")</f>
        <v/>
      </c>
      <c r="AN12" s="19" t="str">
        <f t="shared" ref="AN12:AN14" si="5">IFERROR(SMALL(AM$18:AM$21,AL12),"")</f>
        <v/>
      </c>
      <c r="AO12" s="25">
        <v>222036.99640521762</v>
      </c>
      <c r="AR12" s="23" t="s">
        <v>19</v>
      </c>
      <c r="AS12" s="22">
        <v>0.38884686154939307</v>
      </c>
      <c r="AT12" s="14">
        <v>0.30234587346253589</v>
      </c>
      <c r="AU12" s="22">
        <f>13.8873879124783*28/1000</f>
        <v>0.38884686154939235</v>
      </c>
      <c r="AV12" s="23">
        <f>134.939040717518*28/1000</f>
        <v>3.7782931400905042</v>
      </c>
      <c r="AW12" s="73">
        <v>4.17</v>
      </c>
      <c r="AX12" s="19">
        <v>2</v>
      </c>
      <c r="AY12" s="19" t="str">
        <f>IF((AR12=I$32),AX12,"")</f>
        <v/>
      </c>
      <c r="AZ12" s="19" t="str">
        <f t="shared" ref="AZ12:AZ14" si="6">IFERROR(SMALL(AY$18:AY$21,AX12),"")</f>
        <v/>
      </c>
      <c r="BA12" s="25">
        <v>222036.99640521762</v>
      </c>
      <c r="BD12" s="23" t="s">
        <v>19</v>
      </c>
      <c r="BE12" s="22">
        <v>0.38884686154939307</v>
      </c>
      <c r="BF12" s="14">
        <v>0.30234587346253589</v>
      </c>
      <c r="BG12" s="22">
        <f>13.8873879124783*28/1000</f>
        <v>0.38884686154939235</v>
      </c>
      <c r="BH12" s="23">
        <f>134.939040717518*28/1000</f>
        <v>3.7782931400905042</v>
      </c>
      <c r="BI12" s="73">
        <v>4.17</v>
      </c>
      <c r="BJ12" s="19">
        <v>2</v>
      </c>
      <c r="BK12" s="19" t="str">
        <f>IF((BD12=I$42),BJ12,"")</f>
        <v/>
      </c>
      <c r="BL12" s="19" t="str">
        <f t="shared" ref="BL12:BL14" si="7">IFERROR(SMALL(BK$18:BK$21,BJ12),"")</f>
        <v/>
      </c>
      <c r="BM12" s="25">
        <v>222036.99640521762</v>
      </c>
    </row>
    <row r="13" spans="5:65" ht="13" hidden="1" customHeight="1">
      <c r="E13" s="46"/>
      <c r="F13" s="106"/>
      <c r="G13" s="106"/>
      <c r="H13" s="119"/>
      <c r="I13" s="119"/>
      <c r="J13" s="119"/>
      <c r="K13" s="120"/>
      <c r="L13" s="120"/>
      <c r="M13" s="114"/>
      <c r="N13" s="120"/>
      <c r="O13" s="120"/>
      <c r="P13" s="47"/>
      <c r="Q13" s="33"/>
      <c r="R13" s="33"/>
      <c r="T13" s="1" t="s">
        <v>21</v>
      </c>
      <c r="U13" s="19">
        <v>0.30257428929693397</v>
      </c>
      <c r="V13" s="19">
        <v>0.17363369451952443</v>
      </c>
      <c r="W13" s="23">
        <f>6.27069004545031*28/1000</f>
        <v>0.1755793212726087</v>
      </c>
      <c r="X13" s="28">
        <f>58.7044372035265*28/1000</f>
        <v>1.6437242416987421</v>
      </c>
      <c r="Y13" s="73">
        <v>2.23</v>
      </c>
      <c r="Z13" s="19">
        <v>3</v>
      </c>
      <c r="AA13" s="19" t="str">
        <f>IF((T13=I$12),Z13,"")</f>
        <v/>
      </c>
      <c r="AB13" s="19" t="str">
        <f t="shared" si="4"/>
        <v/>
      </c>
      <c r="AC13" s="25">
        <v>407522.45</v>
      </c>
      <c r="AD13" s="21"/>
      <c r="AF13" s="1" t="s">
        <v>21</v>
      </c>
      <c r="AG13" s="19">
        <v>0.30257428929693397</v>
      </c>
      <c r="AH13" s="19">
        <v>0.17363369451952443</v>
      </c>
      <c r="AI13" s="23">
        <f>6.27069004545031*28/1000</f>
        <v>0.1755793212726087</v>
      </c>
      <c r="AJ13" s="28">
        <f>58.7044372035265*28/1000</f>
        <v>1.6437242416987421</v>
      </c>
      <c r="AK13" s="73">
        <v>2.23</v>
      </c>
      <c r="AL13" s="19">
        <v>3</v>
      </c>
      <c r="AM13" s="19" t="str">
        <f>IF((AF13=I$22),AL13,"")</f>
        <v/>
      </c>
      <c r="AN13" s="19" t="str">
        <f t="shared" si="5"/>
        <v/>
      </c>
      <c r="AO13" s="25">
        <v>407522.45</v>
      </c>
      <c r="AR13" s="23" t="s">
        <v>21</v>
      </c>
      <c r="AS13" s="19">
        <v>0.30257428929693397</v>
      </c>
      <c r="AT13" s="19">
        <v>0.17363369451952443</v>
      </c>
      <c r="AU13" s="23">
        <f>6.27069004545031*28/1000</f>
        <v>0.1755793212726087</v>
      </c>
      <c r="AV13" s="28">
        <f>58.7044372035265*28/1000</f>
        <v>1.6437242416987421</v>
      </c>
      <c r="AW13" s="73">
        <v>2.23</v>
      </c>
      <c r="AX13" s="19">
        <v>3</v>
      </c>
      <c r="AY13" s="19" t="str">
        <f>IF((AR13=I$32),AX13,"")</f>
        <v/>
      </c>
      <c r="AZ13" s="19" t="str">
        <f t="shared" si="6"/>
        <v/>
      </c>
      <c r="BA13" s="25">
        <v>407522.45</v>
      </c>
      <c r="BD13" s="23" t="s">
        <v>21</v>
      </c>
      <c r="BE13" s="19">
        <v>0.30257428929693397</v>
      </c>
      <c r="BF13" s="19">
        <v>0.17363369451952443</v>
      </c>
      <c r="BG13" s="23">
        <f>6.27069004545031*28/1000</f>
        <v>0.1755793212726087</v>
      </c>
      <c r="BH13" s="28">
        <f>58.7044372035265*28/1000</f>
        <v>1.6437242416987421</v>
      </c>
      <c r="BI13" s="73">
        <v>2.23</v>
      </c>
      <c r="BJ13" s="19">
        <v>3</v>
      </c>
      <c r="BK13" s="19">
        <f>IF((BD13=I$42),BJ13,"")</f>
        <v>3</v>
      </c>
      <c r="BL13" s="19" t="str">
        <f t="shared" si="7"/>
        <v/>
      </c>
      <c r="BM13" s="25">
        <v>407522.45</v>
      </c>
    </row>
    <row r="14" spans="5:65" ht="13" customHeight="1" thickBot="1">
      <c r="E14" s="46"/>
      <c r="F14" s="89" t="s">
        <v>32</v>
      </c>
      <c r="G14" s="90" t="s">
        <v>23</v>
      </c>
      <c r="H14" s="121" cm="1">
        <f t="array" ref="H14">IFERROR(INDEX($Y$3:$Y$6,$AB$3,COLUMNS(H14)),0)</f>
        <v>0.13</v>
      </c>
      <c r="I14" s="121" cm="1">
        <f t="array" ref="I14">IFERROR(INDEX($Y$11:$Y$14,$AB$11,COLUMNS(I14)),0)</f>
        <v>0.31</v>
      </c>
      <c r="J14" s="121" cm="1">
        <f t="array" ref="J14">IFERROR(INDEX($Y$18:$Y$21,$AB$18,COLUMNS(J14)),0)</f>
        <v>0.04</v>
      </c>
      <c r="K14" s="121" cm="1">
        <f t="array" ref="K14">IFERROR(INDEX($Y$26:$Y$29,$AB$26,COLUMNS(K14)),0)</f>
        <v>0.28999999999999998</v>
      </c>
      <c r="L14" s="121" cm="1">
        <f t="array" ref="L14">IFERROR(INDEX($Y$34:$Y$37,$AB$34,COLUMNS(L14)),0)</f>
        <v>0.04</v>
      </c>
      <c r="M14" s="122" cm="1">
        <f t="array" ref="M14">IFERROR(INDEX($Y$42:$Y$45,$AB$42,COLUMNS(M14)),0)</f>
        <v>0.28999999999999998</v>
      </c>
      <c r="N14" s="121" cm="1">
        <f t="array" ref="N14">IFERROR(INDEX($Y$49:$Y$52,$AB$49,COLUMNS(N14)),0)</f>
        <v>0.04</v>
      </c>
      <c r="O14" s="121" cm="1">
        <f t="array" ref="O14">IFERROR(INDEX($Y$57:$Y$60,$AB$57,COLUMNS(O14)),0)</f>
        <v>0.28999999999999998</v>
      </c>
      <c r="P14" s="49"/>
      <c r="Q14" s="33"/>
      <c r="R14" s="33"/>
      <c r="T14" s="19" t="s">
        <v>24</v>
      </c>
      <c r="U14" s="22">
        <v>1.1455503509307671E-2</v>
      </c>
      <c r="V14" s="19">
        <v>3.1258361102884206E-2</v>
      </c>
      <c r="W14" s="23">
        <f>0.409125125332417*28/1000</f>
        <v>1.1455503509307676E-2</v>
      </c>
      <c r="X14" s="29">
        <f>10.1429906244724*28/1000</f>
        <v>0.28400373748522717</v>
      </c>
      <c r="Y14" s="73">
        <v>0.31</v>
      </c>
      <c r="Z14" s="19">
        <v>4</v>
      </c>
      <c r="AA14" s="19">
        <f>IF((T14=I$12),Z14,"")</f>
        <v>4</v>
      </c>
      <c r="AB14" s="19" t="str">
        <f t="shared" si="4"/>
        <v/>
      </c>
      <c r="AC14" s="25">
        <v>137325.85</v>
      </c>
      <c r="AD14" s="21"/>
      <c r="AF14" s="19" t="s">
        <v>24</v>
      </c>
      <c r="AG14" s="22">
        <v>1.1455503509307671E-2</v>
      </c>
      <c r="AH14" s="19">
        <v>3.1258361102884206E-2</v>
      </c>
      <c r="AI14" s="23">
        <f>0.409125125332417*28/1000</f>
        <v>1.1455503509307676E-2</v>
      </c>
      <c r="AJ14" s="29">
        <f>10.1429906244724*28/1000</f>
        <v>0.28400373748522717</v>
      </c>
      <c r="AK14" s="73">
        <v>0.31</v>
      </c>
      <c r="AL14" s="19">
        <v>4</v>
      </c>
      <c r="AM14" s="19">
        <f>IF((AF14=I$22),AL14,"")</f>
        <v>4</v>
      </c>
      <c r="AN14" s="19" t="str">
        <f t="shared" si="5"/>
        <v/>
      </c>
      <c r="AO14" s="25">
        <v>137325.85</v>
      </c>
      <c r="AR14" s="19" t="s">
        <v>24</v>
      </c>
      <c r="AS14" s="22">
        <v>1.1455503509307671E-2</v>
      </c>
      <c r="AT14" s="19">
        <v>3.1258361102884206E-2</v>
      </c>
      <c r="AU14" s="23">
        <f>0.409125125332417*28/1000</f>
        <v>1.1455503509307676E-2</v>
      </c>
      <c r="AV14" s="29">
        <f>10.1429906244724*28/1000</f>
        <v>0.28400373748522717</v>
      </c>
      <c r="AW14" s="73">
        <v>0.31</v>
      </c>
      <c r="AX14" s="19">
        <v>4</v>
      </c>
      <c r="AY14" s="19">
        <f>IF((AR14=I$32),AX14,"")</f>
        <v>4</v>
      </c>
      <c r="AZ14" s="19" t="str">
        <f t="shared" si="6"/>
        <v/>
      </c>
      <c r="BA14" s="25">
        <v>137325.85</v>
      </c>
      <c r="BD14" s="19" t="s">
        <v>24</v>
      </c>
      <c r="BE14" s="22">
        <v>1.1455503509307671E-2</v>
      </c>
      <c r="BF14" s="19">
        <v>3.1258361102884206E-2</v>
      </c>
      <c r="BG14" s="23">
        <f>0.409125125332417*28/1000</f>
        <v>1.1455503509307676E-2</v>
      </c>
      <c r="BH14" s="29">
        <f>10.1429906244724*28/1000</f>
        <v>0.28400373748522717</v>
      </c>
      <c r="BI14" s="73">
        <v>0.31</v>
      </c>
      <c r="BJ14" s="19">
        <v>4</v>
      </c>
      <c r="BK14" s="19" t="str">
        <f>IF((BD14=I$42),BJ14,"")</f>
        <v/>
      </c>
      <c r="BL14" s="19" t="str">
        <f t="shared" si="7"/>
        <v/>
      </c>
      <c r="BM14" s="25">
        <v>137325.85</v>
      </c>
    </row>
    <row r="15" spans="5:65" ht="8.15" hidden="1" customHeight="1" thickBot="1">
      <c r="E15" s="46"/>
      <c r="F15" s="106"/>
      <c r="G15" s="106"/>
      <c r="H15" s="116"/>
      <c r="I15" s="116"/>
      <c r="J15" s="116"/>
      <c r="K15" s="116"/>
      <c r="L15" s="116"/>
      <c r="M15" s="116"/>
      <c r="N15" s="116"/>
      <c r="O15" s="116"/>
      <c r="P15" s="47"/>
      <c r="Q15" s="34"/>
      <c r="R15" s="33"/>
      <c r="T15" s="31" t="s">
        <v>27</v>
      </c>
      <c r="U15" s="31"/>
      <c r="X15" s="15"/>
      <c r="Y15" s="19"/>
      <c r="Z15" s="19"/>
      <c r="AA15" s="19"/>
      <c r="AB15" s="19"/>
      <c r="AC15" s="18"/>
      <c r="AD15" s="18"/>
      <c r="AF15" s="31" t="s">
        <v>27</v>
      </c>
      <c r="AG15" s="31"/>
      <c r="AJ15" s="15"/>
      <c r="AK15" s="19"/>
      <c r="AL15" s="19"/>
      <c r="AM15" s="19"/>
      <c r="AN15" s="19"/>
      <c r="AO15" s="18"/>
      <c r="AR15" s="31" t="s">
        <v>27</v>
      </c>
      <c r="AS15" s="31"/>
      <c r="AV15" s="15"/>
      <c r="AW15" s="19"/>
      <c r="AX15" s="19"/>
      <c r="AY15" s="19"/>
      <c r="AZ15" s="19"/>
      <c r="BA15" s="18"/>
      <c r="BD15" s="31" t="s">
        <v>27</v>
      </c>
      <c r="BE15" s="31"/>
      <c r="BH15" s="15"/>
      <c r="BI15" s="19"/>
      <c r="BJ15" s="19"/>
      <c r="BK15" s="19"/>
      <c r="BL15" s="19"/>
      <c r="BM15" s="18"/>
    </row>
    <row r="16" spans="5:65" ht="13" hidden="1" customHeight="1">
      <c r="E16" s="46"/>
      <c r="F16" s="123"/>
      <c r="G16" s="123"/>
      <c r="H16" s="124"/>
      <c r="I16" s="124"/>
      <c r="J16" s="124"/>
      <c r="K16" s="124"/>
      <c r="L16" s="124"/>
      <c r="M16" s="124"/>
      <c r="N16" s="124"/>
      <c r="O16" s="124"/>
      <c r="P16" s="47"/>
      <c r="R16" s="33"/>
      <c r="T16" s="14" t="s">
        <v>1</v>
      </c>
      <c r="V16" s="14" t="s">
        <v>3</v>
      </c>
      <c r="X16" s="15" t="s">
        <v>5</v>
      </c>
      <c r="Y16" s="14" t="s">
        <v>7</v>
      </c>
      <c r="AF16" s="14" t="s">
        <v>1</v>
      </c>
      <c r="AH16" s="14" t="s">
        <v>3</v>
      </c>
      <c r="AJ16" s="15" t="s">
        <v>5</v>
      </c>
      <c r="AK16" s="14" t="s">
        <v>7</v>
      </c>
      <c r="AR16" s="14" t="s">
        <v>1</v>
      </c>
      <c r="AT16" s="14" t="s">
        <v>3</v>
      </c>
      <c r="AV16" s="15" t="s">
        <v>5</v>
      </c>
      <c r="AW16" s="14" t="s">
        <v>7</v>
      </c>
      <c r="BD16" s="14" t="s">
        <v>1</v>
      </c>
      <c r="BF16" s="14" t="s">
        <v>3</v>
      </c>
      <c r="BH16" s="15" t="s">
        <v>5</v>
      </c>
      <c r="BI16" s="14" t="s">
        <v>7</v>
      </c>
    </row>
    <row r="17" spans="5:65" ht="32.25" customHeight="1">
      <c r="E17" s="46"/>
      <c r="F17" s="91" t="s">
        <v>25</v>
      </c>
      <c r="G17" s="92" t="s">
        <v>26</v>
      </c>
      <c r="H17" s="125">
        <v>411851</v>
      </c>
      <c r="I17" s="126"/>
      <c r="J17" s="126"/>
      <c r="K17" s="126"/>
      <c r="L17" s="126"/>
      <c r="M17" s="126"/>
      <c r="N17" s="126"/>
      <c r="O17" s="126"/>
      <c r="P17" s="50"/>
      <c r="Q17" s="34"/>
      <c r="R17" s="33"/>
      <c r="S17" s="11">
        <v>2025</v>
      </c>
      <c r="T17" s="19" t="s">
        <v>13</v>
      </c>
      <c r="U17" s="19"/>
      <c r="V17" s="19"/>
      <c r="W17" s="19"/>
      <c r="X17" s="20" t="s">
        <v>14</v>
      </c>
      <c r="Y17" s="19"/>
      <c r="Z17" s="19" t="s">
        <v>15</v>
      </c>
      <c r="AA17" s="19" t="s">
        <v>16</v>
      </c>
      <c r="AB17" s="19" t="s">
        <v>17</v>
      </c>
      <c r="AC17" s="26"/>
      <c r="AD17" s="26"/>
      <c r="AE17" s="11">
        <v>2025</v>
      </c>
      <c r="AF17" s="19" t="s">
        <v>13</v>
      </c>
      <c r="AG17" s="19"/>
      <c r="AH17" s="19"/>
      <c r="AI17" s="19"/>
      <c r="AJ17" s="20" t="s">
        <v>14</v>
      </c>
      <c r="AK17" s="19"/>
      <c r="AL17" s="19" t="s">
        <v>15</v>
      </c>
      <c r="AM17" s="19" t="s">
        <v>16</v>
      </c>
      <c r="AN17" s="19" t="s">
        <v>17</v>
      </c>
      <c r="AO17" s="26"/>
      <c r="AQ17" s="11">
        <v>2025</v>
      </c>
      <c r="AR17" s="19" t="s">
        <v>13</v>
      </c>
      <c r="AS17" s="19"/>
      <c r="AT17" s="19"/>
      <c r="AU17" s="19"/>
      <c r="AV17" s="20" t="s">
        <v>14</v>
      </c>
      <c r="AW17" s="19"/>
      <c r="AX17" s="19" t="s">
        <v>15</v>
      </c>
      <c r="AY17" s="19" t="s">
        <v>16</v>
      </c>
      <c r="AZ17" s="19" t="s">
        <v>17</v>
      </c>
      <c r="BA17" s="26"/>
      <c r="BC17" s="11">
        <v>2025</v>
      </c>
      <c r="BD17" s="19" t="s">
        <v>13</v>
      </c>
      <c r="BE17" s="19"/>
      <c r="BF17" s="19"/>
      <c r="BG17" s="19"/>
      <c r="BH17" s="20" t="s">
        <v>14</v>
      </c>
      <c r="BI17" s="19"/>
      <c r="BJ17" s="19" t="s">
        <v>15</v>
      </c>
      <c r="BK17" s="19" t="s">
        <v>16</v>
      </c>
      <c r="BL17" s="19" t="s">
        <v>17</v>
      </c>
      <c r="BM17" s="26"/>
    </row>
    <row r="18" spans="5:65" ht="30" customHeight="1" thickBot="1">
      <c r="E18" s="46"/>
      <c r="F18" s="83" t="s">
        <v>28</v>
      </c>
      <c r="G18" s="84" t="s">
        <v>23</v>
      </c>
      <c r="H18" s="112" cm="1">
        <f t="array" ref="H18">IFERROR(INDEX($AO$3:$AO$6,$AN$3,COLUMNS(H18)),"")</f>
        <v>411850.5</v>
      </c>
      <c r="I18" s="112" cm="1">
        <f t="array" ref="I18">IFERROR(INDEX($AO$11:$AO$14,$AN$11,COLUMNS(I18)),"")</f>
        <v>137325.85</v>
      </c>
      <c r="J18" s="112" cm="1">
        <f t="array" ref="J18">IFERROR(INDEX($AO$18:$AO$21,$AN$18,COLUMNS(J18)),"")</f>
        <v>570586</v>
      </c>
      <c r="K18" s="112" cm="1">
        <f t="array" ref="K18">IFERROR(INDEX($AO$26:$AO$29,$AN$26,COLUMNS(K18)),"")</f>
        <v>152413.16353827715</v>
      </c>
      <c r="L18" s="112" cm="1">
        <f t="array" ref="L18">IFERROR(INDEX($AO$34:$AO$37,$AN$34,COLUMNS(L18)),"")</f>
        <v>560560.30000000005</v>
      </c>
      <c r="M18" s="112" cm="1">
        <f t="array" ref="M18">IFERROR(INDEX($AO$42:$AO$45,$AN$42,COLUMNS(M18)),"")</f>
        <v>152413.16353827715</v>
      </c>
      <c r="N18" s="112" cm="1">
        <f t="array" ref="N18">IFERROR(INDEX($AO$49:$AO$53,$AN$49,COLUMNS(N18)),"")</f>
        <v>550534.60000000021</v>
      </c>
      <c r="O18" s="112" cm="1">
        <f t="array" ref="O18">IFERROR(INDEX($AO$57:$AO$60,$AN$57,COLUMNS(O18)),"")</f>
        <v>152413.16353827715</v>
      </c>
      <c r="P18" s="49"/>
      <c r="R18" s="33"/>
      <c r="T18" s="19" t="s">
        <v>20</v>
      </c>
      <c r="U18" s="22">
        <v>7.260360550263982E-2</v>
      </c>
      <c r="V18" s="19">
        <v>5.1255442396451301E-2</v>
      </c>
      <c r="W18" s="23">
        <f>2.59298591080857*28/1000</f>
        <v>7.2603605502639959E-2</v>
      </c>
      <c r="X18" s="24">
        <f>1.31217903169408*28/1000</f>
        <v>3.6741012887434241E-2</v>
      </c>
      <c r="Y18" s="73">
        <v>0.04</v>
      </c>
      <c r="Z18" s="19">
        <v>1</v>
      </c>
      <c r="AA18" s="19">
        <f>IF((T18=J$12),Z18,"")</f>
        <v>1</v>
      </c>
      <c r="AB18" s="19">
        <f>IFERROR(SMALL(AA$18:AA$21,Z18),"")</f>
        <v>1</v>
      </c>
      <c r="AC18" s="25">
        <v>570586</v>
      </c>
      <c r="AD18" s="18"/>
      <c r="AF18" s="19" t="s">
        <v>20</v>
      </c>
      <c r="AG18" s="22">
        <v>7.260360550263982E-2</v>
      </c>
      <c r="AH18" s="19">
        <v>5.1255442396451301E-2</v>
      </c>
      <c r="AI18" s="23">
        <f>2.59298591080857*28/1000</f>
        <v>7.2603605502639959E-2</v>
      </c>
      <c r="AJ18" s="24">
        <f>1.31217903169408*28/1000</f>
        <v>3.6741012887434241E-2</v>
      </c>
      <c r="AK18" s="73">
        <v>0.04</v>
      </c>
      <c r="AL18" s="19">
        <v>1</v>
      </c>
      <c r="AM18" s="19">
        <f>IF((AF18=J$22),AL18,"")</f>
        <v>1</v>
      </c>
      <c r="AN18" s="19">
        <f>IFERROR(SMALL(AM$18:AM$21,AL18),"")</f>
        <v>1</v>
      </c>
      <c r="AO18" s="25">
        <v>570586</v>
      </c>
      <c r="AR18" s="19" t="s">
        <v>20</v>
      </c>
      <c r="AS18" s="22">
        <v>7.260360550263982E-2</v>
      </c>
      <c r="AT18" s="19">
        <v>5.1255442396451301E-2</v>
      </c>
      <c r="AU18" s="23">
        <f>2.59298591080857*28/1000</f>
        <v>7.2603605502639959E-2</v>
      </c>
      <c r="AV18" s="24">
        <f>1.31217903169408*28/1000</f>
        <v>3.6741012887434241E-2</v>
      </c>
      <c r="AW18" s="73">
        <v>0.04</v>
      </c>
      <c r="AX18" s="19">
        <v>1</v>
      </c>
      <c r="AY18" s="19">
        <f>IF((AR18=J$32),AX18,"")</f>
        <v>1</v>
      </c>
      <c r="AZ18" s="19">
        <f>IFERROR(SMALL(AY$18:AY$21,AX18),"")</f>
        <v>1</v>
      </c>
      <c r="BA18" s="25">
        <v>570586</v>
      </c>
      <c r="BD18" s="19" t="s">
        <v>20</v>
      </c>
      <c r="BE18" s="22">
        <v>7.260360550263982E-2</v>
      </c>
      <c r="BF18" s="19">
        <v>5.1255442396451301E-2</v>
      </c>
      <c r="BG18" s="23">
        <f>2.59298591080857*28/1000</f>
        <v>7.2603605502639959E-2</v>
      </c>
      <c r="BH18" s="24">
        <f>1.31217903169408*28/1000</f>
        <v>3.6741012887434241E-2</v>
      </c>
      <c r="BI18" s="73">
        <v>0.04</v>
      </c>
      <c r="BJ18" s="19">
        <v>1</v>
      </c>
      <c r="BK18" s="19" t="str">
        <f>IF((BD18=J$42),BJ18,"")</f>
        <v/>
      </c>
      <c r="BL18" s="19">
        <f>IFERROR(SMALL(BK$18:BK$21,BJ18),"")</f>
        <v>2</v>
      </c>
      <c r="BM18" s="25">
        <v>570586</v>
      </c>
    </row>
    <row r="19" spans="5:65" ht="19" hidden="1" customHeight="1" thickBot="1">
      <c r="E19" s="46"/>
      <c r="F19" s="106"/>
      <c r="G19" s="105"/>
      <c r="H19" s="127"/>
      <c r="I19" s="113"/>
      <c r="J19" s="113"/>
      <c r="K19" s="114"/>
      <c r="L19" s="114"/>
      <c r="M19" s="114"/>
      <c r="N19" s="114"/>
      <c r="O19" s="114"/>
      <c r="P19" s="55"/>
      <c r="Q19" s="56"/>
      <c r="R19" s="33"/>
      <c r="T19" s="1" t="s">
        <v>19</v>
      </c>
      <c r="U19" s="22">
        <v>0.3847890318477129</v>
      </c>
      <c r="V19" s="14">
        <v>0.31000572741333193</v>
      </c>
      <c r="W19" s="22">
        <f>13.7424654231326*28/1000</f>
        <v>0.38478903184771279</v>
      </c>
      <c r="X19" s="24">
        <f>135.831215452548*28/1000</f>
        <v>3.8032740326713443</v>
      </c>
      <c r="Y19" s="73">
        <v>3.79</v>
      </c>
      <c r="Z19" s="19">
        <v>2</v>
      </c>
      <c r="AA19" s="19" t="str">
        <f>IF((T19=J$12),Z19,"")</f>
        <v/>
      </c>
      <c r="AB19" s="19" t="str">
        <f t="shared" ref="AB19:AB21" si="8">IFERROR(SMALL(AA$18:AA$21,Z19),"")</f>
        <v/>
      </c>
      <c r="AC19" s="25">
        <v>205740.53985253655</v>
      </c>
      <c r="AD19" s="18"/>
      <c r="AF19" s="1" t="s">
        <v>19</v>
      </c>
      <c r="AG19" s="22">
        <v>0.3847890318477129</v>
      </c>
      <c r="AH19" s="14">
        <v>0.31000572741333193</v>
      </c>
      <c r="AI19" s="22">
        <f>13.7424654231326*28/1000</f>
        <v>0.38478903184771279</v>
      </c>
      <c r="AJ19" s="24">
        <f>135.831215452548*28/1000</f>
        <v>3.8032740326713443</v>
      </c>
      <c r="AK19" s="73">
        <v>3.79</v>
      </c>
      <c r="AL19" s="19">
        <v>2</v>
      </c>
      <c r="AM19" s="19" t="str">
        <f>IF((AF19=J$22),AL19,"")</f>
        <v/>
      </c>
      <c r="AN19" s="19" t="str">
        <f t="shared" ref="AN19:AN21" si="9">IFERROR(SMALL(AM$18:AM$21,AL19),"")</f>
        <v/>
      </c>
      <c r="AO19" s="25">
        <v>205740.53985253655</v>
      </c>
      <c r="AR19" s="23" t="s">
        <v>19</v>
      </c>
      <c r="AS19" s="22">
        <v>0.3847890318477129</v>
      </c>
      <c r="AT19" s="14">
        <v>0.31000572741333193</v>
      </c>
      <c r="AU19" s="22">
        <f>13.7424654231326*28/1000</f>
        <v>0.38478903184771279</v>
      </c>
      <c r="AV19" s="24">
        <f>135.831215452548*28/1000</f>
        <v>3.8032740326713443</v>
      </c>
      <c r="AW19" s="73">
        <v>3.79</v>
      </c>
      <c r="AX19" s="19">
        <v>2</v>
      </c>
      <c r="AY19" s="19" t="str">
        <f>IF((AR19=J$32),AX19,"")</f>
        <v/>
      </c>
      <c r="AZ19" s="19" t="str">
        <f t="shared" ref="AZ19:AZ21" si="10">IFERROR(SMALL(AY$18:AY$21,AX19),"")</f>
        <v/>
      </c>
      <c r="BA19" s="25">
        <v>205740.53985253655</v>
      </c>
      <c r="BD19" s="23" t="s">
        <v>19</v>
      </c>
      <c r="BE19" s="22">
        <v>0.3847890318477129</v>
      </c>
      <c r="BF19" s="14">
        <v>0.31000572741333193</v>
      </c>
      <c r="BG19" s="22">
        <f>13.7424654231326*28/1000</f>
        <v>0.38478903184771279</v>
      </c>
      <c r="BH19" s="24">
        <f>135.831215452548*28/1000</f>
        <v>3.8032740326713443</v>
      </c>
      <c r="BI19" s="73">
        <v>3.79</v>
      </c>
      <c r="BJ19" s="19">
        <v>2</v>
      </c>
      <c r="BK19" s="19">
        <f>IF((BD19=J$42),BJ19,"")</f>
        <v>2</v>
      </c>
      <c r="BL19" s="19" t="str">
        <f t="shared" ref="BL19:BL21" si="11">IFERROR(SMALL(BK$18:BK$21,BJ19),"")</f>
        <v/>
      </c>
      <c r="BM19" s="25">
        <v>205740.53985253655</v>
      </c>
    </row>
    <row r="20" spans="5:65" ht="34.5" customHeight="1">
      <c r="E20" s="46"/>
      <c r="F20" s="85" t="s">
        <v>29</v>
      </c>
      <c r="G20" s="93" t="s">
        <v>26</v>
      </c>
      <c r="H20" s="109">
        <v>100000</v>
      </c>
      <c r="I20" s="109"/>
      <c r="J20" s="109"/>
      <c r="K20" s="109"/>
      <c r="L20" s="109"/>
      <c r="M20" s="109"/>
      <c r="N20" s="109"/>
      <c r="O20" s="109"/>
      <c r="P20" s="47"/>
      <c r="Q20" s="36"/>
      <c r="R20" s="33"/>
      <c r="T20" s="1" t="s">
        <v>21</v>
      </c>
      <c r="U20" s="27">
        <v>0.29231000517081224</v>
      </c>
      <c r="V20" s="19">
        <v>0.17692796378358613</v>
      </c>
      <c r="W20" s="23">
        <f>6.05628463035604*28/1000</f>
        <v>0.16957596964996913</v>
      </c>
      <c r="X20" s="28">
        <f>58.7044372035265*28/1000</f>
        <v>1.6437242416987421</v>
      </c>
      <c r="Y20" s="73">
        <v>1.96</v>
      </c>
      <c r="Z20" s="19">
        <v>3</v>
      </c>
      <c r="AA20" s="19" t="str">
        <f>IF((T20=J$12),Z20,"")</f>
        <v/>
      </c>
      <c r="AB20" s="19" t="str">
        <f t="shared" si="8"/>
        <v/>
      </c>
      <c r="AC20" s="25">
        <v>409904.1311660959</v>
      </c>
      <c r="AD20" s="18"/>
      <c r="AF20" s="1" t="s">
        <v>21</v>
      </c>
      <c r="AG20" s="27">
        <v>0.29231000517081224</v>
      </c>
      <c r="AH20" s="19">
        <v>0.17692796378358613</v>
      </c>
      <c r="AI20" s="23">
        <f>6.05628463035604*28/1000</f>
        <v>0.16957596964996913</v>
      </c>
      <c r="AJ20" s="28">
        <f>58.7044372035265*28/1000</f>
        <v>1.6437242416987421</v>
      </c>
      <c r="AK20" s="73">
        <v>1.96</v>
      </c>
      <c r="AL20" s="19">
        <v>3</v>
      </c>
      <c r="AM20" s="19" t="str">
        <f>IF((AF20=J$22),AL20,"")</f>
        <v/>
      </c>
      <c r="AN20" s="19" t="str">
        <f t="shared" si="9"/>
        <v/>
      </c>
      <c r="AO20" s="25">
        <v>409904.1311660959</v>
      </c>
      <c r="AR20" s="23" t="s">
        <v>21</v>
      </c>
      <c r="AS20" s="27">
        <v>0.29231000517081224</v>
      </c>
      <c r="AT20" s="19">
        <v>0.17692796378358613</v>
      </c>
      <c r="AU20" s="23">
        <f>6.05628463035604*28/1000</f>
        <v>0.16957596964996913</v>
      </c>
      <c r="AV20" s="28">
        <f>58.7044372035265*28/1000</f>
        <v>1.6437242416987421</v>
      </c>
      <c r="AW20" s="73">
        <v>1.96</v>
      </c>
      <c r="AX20" s="19">
        <v>3</v>
      </c>
      <c r="AY20" s="19" t="str">
        <f>IF((AR20=J$32),AX20,"")</f>
        <v/>
      </c>
      <c r="AZ20" s="19" t="str">
        <f t="shared" si="10"/>
        <v/>
      </c>
      <c r="BA20" s="25">
        <v>409904.1311660959</v>
      </c>
      <c r="BD20" s="23" t="s">
        <v>21</v>
      </c>
      <c r="BE20" s="27">
        <v>0.29231000517081224</v>
      </c>
      <c r="BF20" s="19">
        <v>0.17692796378358613</v>
      </c>
      <c r="BG20" s="23">
        <f>6.05628463035604*28/1000</f>
        <v>0.16957596964996913</v>
      </c>
      <c r="BH20" s="28">
        <f>58.7044372035265*28/1000</f>
        <v>1.6437242416987421</v>
      </c>
      <c r="BI20" s="73">
        <v>1.96</v>
      </c>
      <c r="BJ20" s="19">
        <v>3</v>
      </c>
      <c r="BK20" s="19" t="str">
        <f>IF((BD20=J$42),BJ20,"")</f>
        <v/>
      </c>
      <c r="BL20" s="19" t="str">
        <f t="shared" si="11"/>
        <v/>
      </c>
      <c r="BM20" s="25">
        <v>409904.1311660959</v>
      </c>
    </row>
    <row r="21" spans="5:65" ht="26" hidden="1" customHeight="1">
      <c r="E21" s="46"/>
      <c r="F21" s="106"/>
      <c r="G21" s="105"/>
      <c r="H21" s="116"/>
      <c r="I21" s="128"/>
      <c r="J21" s="116"/>
      <c r="K21" s="115"/>
      <c r="L21" s="115"/>
      <c r="M21" s="115"/>
      <c r="N21" s="115"/>
      <c r="O21" s="115"/>
      <c r="P21" s="47"/>
      <c r="Q21" s="34"/>
      <c r="R21" s="21"/>
      <c r="T21" s="19" t="s">
        <v>24</v>
      </c>
      <c r="U21" s="22">
        <v>1.1455503509307671E-2</v>
      </c>
      <c r="V21" s="19">
        <v>3.1176729319217833E-2</v>
      </c>
      <c r="W21" s="23">
        <f>0.409125125332417*28/1000</f>
        <v>1.1455503509307676E-2</v>
      </c>
      <c r="X21" s="29">
        <f>10.1429906244724*28/1000</f>
        <v>0.28400373748522717</v>
      </c>
      <c r="Y21" s="73">
        <v>0.28999999999999998</v>
      </c>
      <c r="Z21" s="19">
        <v>4</v>
      </c>
      <c r="AA21" s="19" t="str">
        <f>IF((T21=J$12),Z21,"")</f>
        <v/>
      </c>
      <c r="AB21" s="19" t="str">
        <f t="shared" si="8"/>
        <v/>
      </c>
      <c r="AC21" s="25">
        <v>152413.16353827715</v>
      </c>
      <c r="AD21" s="18"/>
      <c r="AF21" s="19" t="s">
        <v>24</v>
      </c>
      <c r="AG21" s="22">
        <v>1.1455503509307671E-2</v>
      </c>
      <c r="AH21" s="19">
        <v>3.1176729319217833E-2</v>
      </c>
      <c r="AI21" s="23">
        <f>0.409125125332417*28/1000</f>
        <v>1.1455503509307676E-2</v>
      </c>
      <c r="AJ21" s="29">
        <f>10.1429906244724*28/1000</f>
        <v>0.28400373748522717</v>
      </c>
      <c r="AK21" s="73">
        <v>0.28999999999999998</v>
      </c>
      <c r="AL21" s="19">
        <v>4</v>
      </c>
      <c r="AM21" s="19" t="str">
        <f>IF((AF21=J$22),AL21,"")</f>
        <v/>
      </c>
      <c r="AN21" s="19" t="str">
        <f t="shared" si="9"/>
        <v/>
      </c>
      <c r="AO21" s="25">
        <v>152413.16353827715</v>
      </c>
      <c r="AR21" s="19" t="s">
        <v>24</v>
      </c>
      <c r="AS21" s="22">
        <v>1.1455503509307671E-2</v>
      </c>
      <c r="AT21" s="19">
        <v>3.1176729319217833E-2</v>
      </c>
      <c r="AU21" s="23">
        <f>0.409125125332417*28/1000</f>
        <v>1.1455503509307676E-2</v>
      </c>
      <c r="AV21" s="29">
        <f>10.1429906244724*28/1000</f>
        <v>0.28400373748522717</v>
      </c>
      <c r="AW21" s="73">
        <v>0.28999999999999998</v>
      </c>
      <c r="AX21" s="19">
        <v>4</v>
      </c>
      <c r="AY21" s="19" t="str">
        <f>IF((AR21=J$32),AX21,"")</f>
        <v/>
      </c>
      <c r="AZ21" s="19" t="str">
        <f t="shared" si="10"/>
        <v/>
      </c>
      <c r="BA21" s="25">
        <v>152413.16353827715</v>
      </c>
      <c r="BD21" s="19" t="s">
        <v>24</v>
      </c>
      <c r="BE21" s="22">
        <v>1.1455503509307671E-2</v>
      </c>
      <c r="BF21" s="19">
        <v>3.1176729319217833E-2</v>
      </c>
      <c r="BG21" s="23">
        <f>0.409125125332417*28/1000</f>
        <v>1.1455503509307676E-2</v>
      </c>
      <c r="BH21" s="29">
        <f>10.1429906244724*28/1000</f>
        <v>0.28400373748522717</v>
      </c>
      <c r="BI21" s="73">
        <v>0.28999999999999998</v>
      </c>
      <c r="BJ21" s="19">
        <v>4</v>
      </c>
      <c r="BK21" s="19" t="str">
        <f>IF((BD21=J$42),BJ21,"")</f>
        <v/>
      </c>
      <c r="BL21" s="19" t="str">
        <f t="shared" si="11"/>
        <v/>
      </c>
      <c r="BM21" s="25">
        <v>152413.16353827715</v>
      </c>
    </row>
    <row r="22" spans="5:65" ht="37.5" customHeight="1" thickBot="1">
      <c r="E22" s="46"/>
      <c r="F22" s="87" t="s">
        <v>30</v>
      </c>
      <c r="G22" s="94" t="s">
        <v>31</v>
      </c>
      <c r="H22" s="118" t="s">
        <v>21</v>
      </c>
      <c r="I22" s="129" t="s">
        <v>24</v>
      </c>
      <c r="J22" s="129" t="s">
        <v>20</v>
      </c>
      <c r="K22" s="118" t="s">
        <v>24</v>
      </c>
      <c r="L22" s="118" t="s">
        <v>20</v>
      </c>
      <c r="M22" s="118" t="s">
        <v>24</v>
      </c>
      <c r="N22" s="129" t="s">
        <v>20</v>
      </c>
      <c r="O22" s="118" t="s">
        <v>24</v>
      </c>
      <c r="P22" s="47"/>
      <c r="T22" s="31" t="s">
        <v>27</v>
      </c>
      <c r="U22" s="31"/>
      <c r="V22" s="19" t="s">
        <v>33</v>
      </c>
      <c r="W22" s="19"/>
      <c r="X22" s="32"/>
      <c r="Y22" s="19"/>
      <c r="Z22" s="19"/>
      <c r="AA22" s="19"/>
      <c r="AB22" s="19"/>
      <c r="AC22" s="18"/>
      <c r="AD22" s="18"/>
      <c r="AF22" s="31" t="s">
        <v>27</v>
      </c>
      <c r="AG22" s="31"/>
      <c r="AH22" s="19" t="s">
        <v>33</v>
      </c>
      <c r="AI22" s="19"/>
      <c r="AJ22" s="32"/>
      <c r="AK22" s="19"/>
      <c r="AL22" s="19"/>
      <c r="AM22" s="19"/>
      <c r="AN22" s="19"/>
      <c r="AO22" s="18"/>
      <c r="AR22" s="31" t="s">
        <v>27</v>
      </c>
      <c r="AS22" s="31"/>
      <c r="AT22" s="19" t="s">
        <v>33</v>
      </c>
      <c r="AU22" s="19"/>
      <c r="AV22" s="32"/>
      <c r="AW22" s="19"/>
      <c r="AX22" s="19"/>
      <c r="AY22" s="19"/>
      <c r="AZ22" s="19"/>
      <c r="BA22" s="18"/>
      <c r="BD22" s="31" t="s">
        <v>27</v>
      </c>
      <c r="BE22" s="31"/>
      <c r="BF22" s="19" t="s">
        <v>33</v>
      </c>
      <c r="BG22" s="19"/>
      <c r="BH22" s="32"/>
      <c r="BI22" s="19"/>
      <c r="BJ22" s="19"/>
      <c r="BK22" s="19"/>
      <c r="BL22" s="19"/>
      <c r="BM22" s="18"/>
    </row>
    <row r="23" spans="5:65" ht="30.5" hidden="1" customHeight="1" thickBot="1">
      <c r="E23" s="46"/>
      <c r="F23" s="106"/>
      <c r="G23" s="130"/>
      <c r="H23" s="113"/>
      <c r="I23" s="119"/>
      <c r="J23" s="119"/>
      <c r="K23" s="120"/>
      <c r="L23" s="120"/>
      <c r="M23" s="120"/>
      <c r="N23" s="120"/>
      <c r="O23" s="120"/>
      <c r="P23" s="47"/>
      <c r="T23" s="19"/>
      <c r="U23" s="19"/>
      <c r="V23" s="19"/>
      <c r="W23" s="19"/>
      <c r="X23" s="15"/>
      <c r="Y23" s="19"/>
      <c r="Z23" s="19"/>
      <c r="AA23" s="19"/>
      <c r="AB23" s="19"/>
      <c r="AC23" s="18"/>
      <c r="AD23" s="18"/>
      <c r="AF23" s="19"/>
      <c r="AG23" s="19"/>
      <c r="AH23" s="19"/>
      <c r="AI23" s="19"/>
      <c r="AJ23" s="15"/>
      <c r="AK23" s="19"/>
      <c r="AL23" s="19"/>
      <c r="AM23" s="19"/>
      <c r="AN23" s="19"/>
      <c r="AO23" s="18"/>
      <c r="AR23" s="19"/>
      <c r="AS23" s="19"/>
      <c r="AT23" s="19"/>
      <c r="AU23" s="19"/>
      <c r="AV23" s="15"/>
      <c r="AW23" s="19"/>
      <c r="AX23" s="19"/>
      <c r="AY23" s="19"/>
      <c r="AZ23" s="19"/>
      <c r="BA23" s="18"/>
      <c r="BD23" s="19"/>
      <c r="BE23" s="19"/>
      <c r="BF23" s="19"/>
      <c r="BG23" s="19"/>
      <c r="BH23" s="15"/>
      <c r="BI23" s="19"/>
      <c r="BJ23" s="19"/>
      <c r="BK23" s="19"/>
      <c r="BL23" s="19"/>
      <c r="BM23" s="18"/>
    </row>
    <row r="24" spans="5:65" ht="13" customHeight="1" thickBot="1">
      <c r="E24" s="51"/>
      <c r="F24" s="89" t="s">
        <v>32</v>
      </c>
      <c r="G24" s="131" t="s">
        <v>23</v>
      </c>
      <c r="H24" s="132" cm="1">
        <f t="array" ref="H24">IFERROR(INDEX($AK$3:$AK$6,$AN$3,COLUMNS(H24)),0)</f>
        <v>2.23</v>
      </c>
      <c r="I24" s="133" cm="1">
        <f t="array" ref="I24">IFERROR(INDEX($AK$11:$AK$14,$AN$11,COLUMNS(I24)),0)</f>
        <v>0.31</v>
      </c>
      <c r="J24" s="133" cm="1">
        <f t="array" ref="J24">IFERROR(INDEX($AK$18:$AK$21,$AN$18,COLUMNS(J24)),0)</f>
        <v>0.04</v>
      </c>
      <c r="K24" s="133" cm="1">
        <f t="array" ref="K24">IFERROR(INDEX($AK$26:$AK$29,$AN$26,COLUMNS(K24)),0)</f>
        <v>0.28999999999999998</v>
      </c>
      <c r="L24" s="133" cm="1">
        <f t="array" ref="L24">IFERROR(INDEX($AK$34:$AK$37,$AN$34,COLUMNS(L24)),0)</f>
        <v>0.04</v>
      </c>
      <c r="M24" s="133" cm="1">
        <f t="array" ref="M24">IFERROR(INDEX($AK$42:$AK$45,$AN$42,COLUMNS(M24)),0)</f>
        <v>0.28999999999999998</v>
      </c>
      <c r="N24" s="133" cm="1">
        <f t="array" ref="N24">IFERROR(INDEX($AK$49:$AK$52,$AN$49,COLUMNS(N24)),0)</f>
        <v>0.04</v>
      </c>
      <c r="O24" s="133" cm="1">
        <f t="array" ref="O24">IFERROR(INDEX($AK$57:$AK$60,$AN$57,COLUMNS(O24)),0)</f>
        <v>0.28999999999999998</v>
      </c>
      <c r="P24" s="47"/>
      <c r="T24" s="14" t="s">
        <v>1</v>
      </c>
      <c r="V24" s="14" t="s">
        <v>3</v>
      </c>
      <c r="X24" s="15" t="s">
        <v>5</v>
      </c>
      <c r="Y24" s="14" t="s">
        <v>7</v>
      </c>
      <c r="AC24" s="18"/>
      <c r="AD24" s="18"/>
      <c r="AF24" s="14" t="s">
        <v>1</v>
      </c>
      <c r="AH24" s="14" t="s">
        <v>3</v>
      </c>
      <c r="AJ24" s="15" t="s">
        <v>5</v>
      </c>
      <c r="AK24" s="14" t="s">
        <v>7</v>
      </c>
      <c r="AO24" s="18"/>
      <c r="AR24" s="14" t="s">
        <v>1</v>
      </c>
      <c r="AT24" s="14" t="s">
        <v>3</v>
      </c>
      <c r="AV24" s="15" t="s">
        <v>5</v>
      </c>
      <c r="AW24" s="14" t="s">
        <v>7</v>
      </c>
      <c r="BA24" s="18"/>
      <c r="BD24" s="14" t="s">
        <v>1</v>
      </c>
      <c r="BF24" s="14" t="s">
        <v>3</v>
      </c>
      <c r="BH24" s="15" t="s">
        <v>5</v>
      </c>
      <c r="BI24" s="14" t="s">
        <v>7</v>
      </c>
      <c r="BM24" s="18"/>
    </row>
    <row r="25" spans="5:65" ht="15" hidden="1" customHeight="1" thickBot="1">
      <c r="E25" s="51"/>
      <c r="F25" s="106"/>
      <c r="G25" s="106"/>
      <c r="H25" s="113"/>
      <c r="I25" s="116"/>
      <c r="J25" s="116"/>
      <c r="K25" s="116"/>
      <c r="L25" s="116"/>
      <c r="M25" s="116"/>
      <c r="N25" s="116"/>
      <c r="O25" s="116"/>
      <c r="P25" s="47"/>
      <c r="S25" s="11">
        <v>2026</v>
      </c>
      <c r="T25" s="19" t="s">
        <v>13</v>
      </c>
      <c r="U25" s="19"/>
      <c r="V25" s="19"/>
      <c r="W25" s="19"/>
      <c r="X25" s="20" t="s">
        <v>14</v>
      </c>
      <c r="Y25" s="19"/>
      <c r="Z25" s="19" t="s">
        <v>15</v>
      </c>
      <c r="AA25" s="19" t="s">
        <v>16</v>
      </c>
      <c r="AB25" s="19" t="s">
        <v>17</v>
      </c>
      <c r="AC25" s="18"/>
      <c r="AD25" s="18"/>
      <c r="AE25" s="11">
        <v>2026</v>
      </c>
      <c r="AF25" s="19" t="s">
        <v>13</v>
      </c>
      <c r="AG25" s="19"/>
      <c r="AH25" s="19"/>
      <c r="AI25" s="19"/>
      <c r="AJ25" s="20" t="s">
        <v>14</v>
      </c>
      <c r="AK25" s="19"/>
      <c r="AL25" s="19" t="s">
        <v>15</v>
      </c>
      <c r="AM25" s="19" t="s">
        <v>16</v>
      </c>
      <c r="AN25" s="19" t="s">
        <v>17</v>
      </c>
      <c r="AO25" s="18"/>
      <c r="AQ25" s="11">
        <v>2026</v>
      </c>
      <c r="AR25" s="19" t="s">
        <v>13</v>
      </c>
      <c r="AS25" s="19"/>
      <c r="AT25" s="19"/>
      <c r="AU25" s="19"/>
      <c r="AV25" s="20" t="s">
        <v>14</v>
      </c>
      <c r="AW25" s="19"/>
      <c r="AX25" s="19" t="s">
        <v>15</v>
      </c>
      <c r="AY25" s="19" t="s">
        <v>16</v>
      </c>
      <c r="AZ25" s="19" t="s">
        <v>17</v>
      </c>
      <c r="BA25" s="18"/>
      <c r="BC25" s="11">
        <v>2026</v>
      </c>
      <c r="BD25" s="19" t="s">
        <v>13</v>
      </c>
      <c r="BE25" s="19"/>
      <c r="BF25" s="19"/>
      <c r="BG25" s="19"/>
      <c r="BH25" s="20" t="s">
        <v>14</v>
      </c>
      <c r="BI25" s="19"/>
      <c r="BJ25" s="19" t="s">
        <v>15</v>
      </c>
      <c r="BK25" s="19" t="s">
        <v>16</v>
      </c>
      <c r="BL25" s="19" t="s">
        <v>17</v>
      </c>
      <c r="BM25" s="18"/>
    </row>
    <row r="26" spans="5:65" ht="40" hidden="1" customHeight="1" thickBot="1">
      <c r="E26" s="51"/>
      <c r="F26" s="123"/>
      <c r="G26" s="123"/>
      <c r="H26" s="116"/>
      <c r="I26" s="124"/>
      <c r="J26" s="124"/>
      <c r="K26" s="124"/>
      <c r="L26" s="124"/>
      <c r="M26" s="124"/>
      <c r="N26" s="124"/>
      <c r="O26" s="124"/>
      <c r="P26" s="50"/>
      <c r="T26" s="19" t="s">
        <v>20</v>
      </c>
      <c r="U26" s="22">
        <v>6.7853605787563401E-2</v>
      </c>
      <c r="V26" s="19">
        <v>5.1943348585850896E-2</v>
      </c>
      <c r="W26" s="23">
        <f>2.42334306384155*28/1000</f>
        <v>6.7853605787563401E-2</v>
      </c>
      <c r="X26" s="24">
        <f>1.31217903169408*28/1000</f>
        <v>3.6741012887434241E-2</v>
      </c>
      <c r="Y26" s="73">
        <v>0.04</v>
      </c>
      <c r="Z26" s="19">
        <v>1</v>
      </c>
      <c r="AA26" s="19" t="str">
        <f>IF((T26=K$12),Z26,"")</f>
        <v/>
      </c>
      <c r="AB26" s="19">
        <f>IFERROR(SMALL(AA$26:AA$29,Z26),"")</f>
        <v>4</v>
      </c>
      <c r="AC26" s="25">
        <v>565573.15</v>
      </c>
      <c r="AD26" s="18"/>
      <c r="AF26" s="19" t="s">
        <v>20</v>
      </c>
      <c r="AG26" s="22">
        <v>6.7853605787563401E-2</v>
      </c>
      <c r="AH26" s="19">
        <v>5.1943348585850896E-2</v>
      </c>
      <c r="AI26" s="23">
        <f>2.42334306384155*28/1000</f>
        <v>6.7853605787563401E-2</v>
      </c>
      <c r="AJ26" s="24">
        <f>1.31217903169408*28/1000</f>
        <v>3.6741012887434241E-2</v>
      </c>
      <c r="AK26" s="73">
        <v>0.04</v>
      </c>
      <c r="AL26" s="19">
        <v>1</v>
      </c>
      <c r="AM26" s="19" t="str">
        <f>IF((AF26=K$22),AL26,"")</f>
        <v/>
      </c>
      <c r="AN26" s="19">
        <f>IFERROR(SMALL(AM$26:AM$29,AL26),"")</f>
        <v>4</v>
      </c>
      <c r="AO26" s="25">
        <v>565573.15</v>
      </c>
      <c r="AR26" s="19" t="s">
        <v>20</v>
      </c>
      <c r="AS26" s="22">
        <v>6.7853605787563401E-2</v>
      </c>
      <c r="AT26" s="19">
        <v>5.1943348585850896E-2</v>
      </c>
      <c r="AU26" s="23">
        <f>2.42334306384155*28/1000</f>
        <v>6.7853605787563401E-2</v>
      </c>
      <c r="AV26" s="24">
        <f>1.31217903169408*28/1000</f>
        <v>3.6741012887434241E-2</v>
      </c>
      <c r="AW26" s="73">
        <v>0.04</v>
      </c>
      <c r="AX26" s="19">
        <v>1</v>
      </c>
      <c r="AY26" s="19" t="str">
        <f>IF((AR26=K$32),AX26,"")</f>
        <v/>
      </c>
      <c r="AZ26" s="19">
        <f>IFERROR(SMALL(AY$26:AY$29,AX26),"")</f>
        <v>3</v>
      </c>
      <c r="BA26" s="25">
        <v>565573.15</v>
      </c>
      <c r="BD26" s="19" t="s">
        <v>20</v>
      </c>
      <c r="BE26" s="22">
        <v>6.7853605787563401E-2</v>
      </c>
      <c r="BF26" s="19">
        <v>5.1943348585850896E-2</v>
      </c>
      <c r="BG26" s="23">
        <f>2.42334306384155*28/1000</f>
        <v>6.7853605787563401E-2</v>
      </c>
      <c r="BH26" s="24">
        <f>1.31217903169408*28/1000</f>
        <v>3.6741012887434241E-2</v>
      </c>
      <c r="BI26" s="73">
        <v>0.04</v>
      </c>
      <c r="BJ26" s="19">
        <v>1</v>
      </c>
      <c r="BK26" s="19" t="str">
        <f>IF((BD26=K$42),BJ26,"")</f>
        <v/>
      </c>
      <c r="BL26" s="19">
        <f>IFERROR(SMALL(BK$26:BK$29,BJ26),"")</f>
        <v>3</v>
      </c>
      <c r="BM26" s="25">
        <v>565573.15</v>
      </c>
    </row>
    <row r="27" spans="5:65" ht="33" customHeight="1">
      <c r="E27" s="51"/>
      <c r="F27" s="91" t="s">
        <v>25</v>
      </c>
      <c r="G27" s="95" t="s">
        <v>26</v>
      </c>
      <c r="H27" s="109">
        <v>535372</v>
      </c>
      <c r="I27" s="126"/>
      <c r="J27" s="126"/>
      <c r="K27" s="126"/>
      <c r="L27" s="126"/>
      <c r="M27" s="126"/>
      <c r="N27" s="126"/>
      <c r="O27" s="134"/>
      <c r="P27" s="47"/>
      <c r="Q27" s="35"/>
      <c r="T27" s="1" t="s">
        <v>19</v>
      </c>
      <c r="U27" s="22">
        <v>0.38064412326164365</v>
      </c>
      <c r="V27" s="14">
        <v>0.31704311301731763</v>
      </c>
      <c r="W27" s="22">
        <f>13.5944329736301*28/1000</f>
        <v>0.38064412326164276</v>
      </c>
      <c r="X27" s="24">
        <f>136.723390187577*28/1000</f>
        <v>3.8282549252521556</v>
      </c>
      <c r="Y27" s="73">
        <v>3.79</v>
      </c>
      <c r="Z27" s="19">
        <v>2</v>
      </c>
      <c r="AA27" s="19" t="str">
        <f>IF((T27=K$12),Z27,"")</f>
        <v/>
      </c>
      <c r="AB27" s="19" t="str">
        <f t="shared" ref="AB27:AB29" si="12">IFERROR(SMALL(AA$18:AA$21,Z27),"")</f>
        <v/>
      </c>
      <c r="AC27" s="25">
        <v>205055.57970507312</v>
      </c>
      <c r="AD27" s="18"/>
      <c r="AF27" s="1" t="s">
        <v>19</v>
      </c>
      <c r="AG27" s="22">
        <v>0.38064412326164365</v>
      </c>
      <c r="AH27" s="14">
        <v>0.31704311301731763</v>
      </c>
      <c r="AI27" s="22">
        <f>13.5944329736301*28/1000</f>
        <v>0.38064412326164276</v>
      </c>
      <c r="AJ27" s="24">
        <f>136.723390187577*28/1000</f>
        <v>3.8282549252521556</v>
      </c>
      <c r="AK27" s="73">
        <v>3.79</v>
      </c>
      <c r="AL27" s="19">
        <v>2</v>
      </c>
      <c r="AM27" s="19" t="str">
        <f>IF((AF27=K$22),AL27,"")</f>
        <v/>
      </c>
      <c r="AN27" s="19" t="str">
        <f t="shared" ref="AN27:AN29" si="13">IFERROR(SMALL(AM$18:AM$21,AL27),"")</f>
        <v/>
      </c>
      <c r="AO27" s="25">
        <v>205055.57970507312</v>
      </c>
      <c r="AR27" s="23" t="s">
        <v>19</v>
      </c>
      <c r="AS27" s="22">
        <v>0.38064412326164365</v>
      </c>
      <c r="AT27" s="14">
        <v>0.31704311301731763</v>
      </c>
      <c r="AU27" s="22">
        <f>13.5944329736301*28/1000</f>
        <v>0.38064412326164276</v>
      </c>
      <c r="AV27" s="24">
        <f>136.723390187577*28/1000</f>
        <v>3.8282549252521556</v>
      </c>
      <c r="AW27" s="73">
        <v>3.79</v>
      </c>
      <c r="AX27" s="19">
        <v>2</v>
      </c>
      <c r="AY27" s="19" t="str">
        <f>IF((AR27=K$32),AX27,"")</f>
        <v/>
      </c>
      <c r="AZ27" s="19" t="str">
        <f t="shared" ref="AZ27:AZ29" si="14">IFERROR(SMALL(AY$18:AY$21,AX27),"")</f>
        <v/>
      </c>
      <c r="BA27" s="25">
        <v>205055.57970507312</v>
      </c>
      <c r="BD27" s="23" t="s">
        <v>19</v>
      </c>
      <c r="BE27" s="22">
        <v>0.38064412326164365</v>
      </c>
      <c r="BF27" s="14">
        <v>0.31704311301731763</v>
      </c>
      <c r="BG27" s="22">
        <f>13.5944329736301*28/1000</f>
        <v>0.38064412326164276</v>
      </c>
      <c r="BH27" s="24">
        <f>136.723390187577*28/1000</f>
        <v>3.8282549252521556</v>
      </c>
      <c r="BI27" s="73">
        <v>3.79</v>
      </c>
      <c r="BJ27" s="19">
        <v>2</v>
      </c>
      <c r="BK27" s="19" t="str">
        <f>IF((BD27=K$42),BJ27,"")</f>
        <v/>
      </c>
      <c r="BL27" s="19" t="str">
        <f t="shared" ref="BL27:BL29" si="15">IFERROR(SMALL(BK$18:BK$21,BJ27),"")</f>
        <v/>
      </c>
      <c r="BM27" s="25">
        <v>205055.57970507312</v>
      </c>
    </row>
    <row r="28" spans="5:65" ht="40.5" customHeight="1" thickBot="1">
      <c r="E28" s="51"/>
      <c r="F28" s="83" t="s">
        <v>28</v>
      </c>
      <c r="G28" s="96" t="s">
        <v>23</v>
      </c>
      <c r="H28" s="112" cm="1">
        <f t="array" ref="H28">IFERROR(INDEX($BA$3:$BA$6,$AZ$3,COLUMNS(H28)),"")</f>
        <v>535372.15</v>
      </c>
      <c r="I28" s="112" cm="1">
        <f t="array" ref="I28">IFERROR(INDEX($BA$11:$BA$14,$AZ$11,COLUMNS(I28)),"")</f>
        <v>137325.85</v>
      </c>
      <c r="J28" s="112" cm="1">
        <f t="array" ref="J28">IFERROR(INDEX($BA$18:$BA$21,$AZ$18,COLUMNS(J28)),"")</f>
        <v>570586</v>
      </c>
      <c r="K28" s="112" cm="1">
        <f t="array" ref="K28">IFERROR(INDEX($BA$26:$BA$29,$AZ$26,COLUMNS(K28)),"")</f>
        <v>409656.34155479458</v>
      </c>
      <c r="L28" s="112" cm="1">
        <f t="array" ref="L28">IFERROR(INDEX($BA$34:$BA$37,$AN$34,COLUMNS(L28)),"")</f>
        <v>560560.30000000005</v>
      </c>
      <c r="M28" s="112" cm="1">
        <f t="array" ref="M28">IFERROR(INDEX($BA$42:$BA$45,$AN$42,COLUMNS(M28)),"")</f>
        <v>152413.16353827715</v>
      </c>
      <c r="N28" s="112" cm="1">
        <f t="array" ref="N28">IFERROR(INDEX($BA$49:$BA$53,$AN$49,COLUMNS(N28)),"")</f>
        <v>550534.60000000021</v>
      </c>
      <c r="O28" s="112" cm="1">
        <f t="array" ref="O28">IFERROR(INDEX($BA$57:$BA$60,$AN$57,COLUMNS(O28)),"")</f>
        <v>152413.16353827715</v>
      </c>
      <c r="P28" s="47"/>
      <c r="Q28" s="36"/>
      <c r="T28" s="1" t="s">
        <v>21</v>
      </c>
      <c r="U28" s="27">
        <v>0.282039700256629</v>
      </c>
      <c r="V28" s="19">
        <v>0.17983142891662238</v>
      </c>
      <c r="W28" s="23">
        <f>6.05628463035604*28/1000</f>
        <v>0.16957596964996913</v>
      </c>
      <c r="X28" s="28">
        <f>58.7044372035265*28/1000</f>
        <v>1.6437242416987421</v>
      </c>
      <c r="Y28" s="73">
        <v>1.96</v>
      </c>
      <c r="Z28" s="19">
        <v>3</v>
      </c>
      <c r="AA28" s="19" t="str">
        <f>IF((T28=K$12),Z28,"")</f>
        <v/>
      </c>
      <c r="AB28" s="19" t="str">
        <f t="shared" si="12"/>
        <v/>
      </c>
      <c r="AC28" s="25">
        <v>409656.34155479458</v>
      </c>
      <c r="AD28" s="18"/>
      <c r="AF28" s="1" t="s">
        <v>21</v>
      </c>
      <c r="AG28" s="27">
        <v>0.282039700256629</v>
      </c>
      <c r="AH28" s="19">
        <v>0.17983142891662238</v>
      </c>
      <c r="AI28" s="23">
        <f>6.05628463035604*28/1000</f>
        <v>0.16957596964996913</v>
      </c>
      <c r="AJ28" s="28">
        <f>58.7044372035265*28/1000</f>
        <v>1.6437242416987421</v>
      </c>
      <c r="AK28" s="73">
        <v>1.96</v>
      </c>
      <c r="AL28" s="19">
        <v>3</v>
      </c>
      <c r="AM28" s="19" t="str">
        <f>IF((AF28=K$22),AL28,"")</f>
        <v/>
      </c>
      <c r="AN28" s="19" t="str">
        <f t="shared" si="13"/>
        <v/>
      </c>
      <c r="AO28" s="25">
        <v>409656.34155479458</v>
      </c>
      <c r="AR28" s="23" t="s">
        <v>21</v>
      </c>
      <c r="AS28" s="27">
        <v>0.282039700256629</v>
      </c>
      <c r="AT28" s="19">
        <v>0.17983142891662238</v>
      </c>
      <c r="AU28" s="23">
        <f>6.05628463035604*28/1000</f>
        <v>0.16957596964996913</v>
      </c>
      <c r="AV28" s="28">
        <f>58.7044372035265*28/1000</f>
        <v>1.6437242416987421</v>
      </c>
      <c r="AW28" s="73">
        <v>1.96</v>
      </c>
      <c r="AX28" s="19">
        <v>3</v>
      </c>
      <c r="AY28" s="19">
        <f>IF((AR28=K$32),AX28,"")</f>
        <v>3</v>
      </c>
      <c r="AZ28" s="19" t="str">
        <f t="shared" si="14"/>
        <v/>
      </c>
      <c r="BA28" s="25">
        <v>409656.34155479458</v>
      </c>
      <c r="BD28" s="23" t="s">
        <v>21</v>
      </c>
      <c r="BE28" s="27">
        <v>0.282039700256629</v>
      </c>
      <c r="BF28" s="19">
        <v>0.17983142891662238</v>
      </c>
      <c r="BG28" s="23">
        <f>6.05628463035604*28/1000</f>
        <v>0.16957596964996913</v>
      </c>
      <c r="BH28" s="28">
        <f>58.7044372035265*28/1000</f>
        <v>1.6437242416987421</v>
      </c>
      <c r="BI28" s="73">
        <v>1.96</v>
      </c>
      <c r="BJ28" s="19">
        <v>3</v>
      </c>
      <c r="BK28" s="19">
        <f>IF((BD28=K$42),BJ28,"")</f>
        <v>3</v>
      </c>
      <c r="BL28" s="19" t="str">
        <f t="shared" si="15"/>
        <v/>
      </c>
      <c r="BM28" s="25">
        <v>409656.34155479458</v>
      </c>
    </row>
    <row r="29" spans="5:65" ht="21.5" hidden="1" customHeight="1" thickBot="1">
      <c r="E29" s="51"/>
      <c r="F29" s="106"/>
      <c r="G29" s="105"/>
      <c r="H29" s="127"/>
      <c r="I29" s="113"/>
      <c r="J29" s="113"/>
      <c r="K29" s="114"/>
      <c r="L29" s="114"/>
      <c r="M29" s="114"/>
      <c r="N29" s="114"/>
      <c r="O29" s="114"/>
      <c r="P29" s="47"/>
      <c r="T29" s="19" t="s">
        <v>24</v>
      </c>
      <c r="U29" s="22">
        <v>1.1455503509307671E-2</v>
      </c>
      <c r="V29" s="19">
        <v>3.1030663705274866E-2</v>
      </c>
      <c r="W29" s="23">
        <f>0.409125125332417*28/1000</f>
        <v>1.1455503509307676E-2</v>
      </c>
      <c r="X29" s="29">
        <f>10.1429906244724*28/1000</f>
        <v>0.28400373748522717</v>
      </c>
      <c r="Y29" s="73">
        <v>0.28999999999999998</v>
      </c>
      <c r="Z29" s="19">
        <v>4</v>
      </c>
      <c r="AA29" s="19">
        <f>IF((T29=K$12),Z29,"")</f>
        <v>4</v>
      </c>
      <c r="AB29" s="19" t="str">
        <f t="shared" si="12"/>
        <v/>
      </c>
      <c r="AC29" s="25">
        <v>152413.16353827715</v>
      </c>
      <c r="AD29" s="18"/>
      <c r="AF29" s="19" t="s">
        <v>24</v>
      </c>
      <c r="AG29" s="22">
        <v>1.1455503509307671E-2</v>
      </c>
      <c r="AH29" s="19">
        <v>3.1030663705274866E-2</v>
      </c>
      <c r="AI29" s="23">
        <f>0.409125125332417*28/1000</f>
        <v>1.1455503509307676E-2</v>
      </c>
      <c r="AJ29" s="29">
        <f>10.1429906244724*28/1000</f>
        <v>0.28400373748522717</v>
      </c>
      <c r="AK29" s="73">
        <v>0.28999999999999998</v>
      </c>
      <c r="AL29" s="19">
        <v>4</v>
      </c>
      <c r="AM29" s="19">
        <f>IF((AF29=K$22),AL29,"")</f>
        <v>4</v>
      </c>
      <c r="AN29" s="19" t="str">
        <f t="shared" si="13"/>
        <v/>
      </c>
      <c r="AO29" s="25">
        <v>152413.16353827715</v>
      </c>
      <c r="AR29" s="19" t="s">
        <v>24</v>
      </c>
      <c r="AS29" s="22">
        <v>1.1455503509307671E-2</v>
      </c>
      <c r="AT29" s="19">
        <v>3.1030663705274866E-2</v>
      </c>
      <c r="AU29" s="23">
        <f>0.409125125332417*28/1000</f>
        <v>1.1455503509307676E-2</v>
      </c>
      <c r="AV29" s="29">
        <f>10.1429906244724*28/1000</f>
        <v>0.28400373748522717</v>
      </c>
      <c r="AW29" s="73">
        <v>0.28999999999999998</v>
      </c>
      <c r="AX29" s="19">
        <v>4</v>
      </c>
      <c r="AY29" s="19" t="str">
        <f>IF((AR29=K$32),AX29,"")</f>
        <v/>
      </c>
      <c r="AZ29" s="19" t="str">
        <f t="shared" si="14"/>
        <v/>
      </c>
      <c r="BA29" s="25">
        <v>152413.16353827715</v>
      </c>
      <c r="BD29" s="19" t="s">
        <v>24</v>
      </c>
      <c r="BE29" s="22">
        <v>1.1455503509307671E-2</v>
      </c>
      <c r="BF29" s="19">
        <v>3.1030663705274866E-2</v>
      </c>
      <c r="BG29" s="23">
        <f>0.409125125332417*28/1000</f>
        <v>1.1455503509307676E-2</v>
      </c>
      <c r="BH29" s="29">
        <f>10.1429906244724*28/1000</f>
        <v>0.28400373748522717</v>
      </c>
      <c r="BI29" s="73">
        <v>0.28999999999999998</v>
      </c>
      <c r="BJ29" s="19">
        <v>4</v>
      </c>
      <c r="BK29" s="19" t="str">
        <f>IF((BD29=K$42),BJ29,"")</f>
        <v/>
      </c>
      <c r="BL29" s="19" t="str">
        <f t="shared" si="15"/>
        <v/>
      </c>
      <c r="BM29" s="25">
        <v>152413.16353827715</v>
      </c>
    </row>
    <row r="30" spans="5:65" ht="35.25" customHeight="1">
      <c r="E30" s="51"/>
      <c r="F30" s="97" t="s">
        <v>29</v>
      </c>
      <c r="G30" s="93" t="s">
        <v>26</v>
      </c>
      <c r="H30" s="109">
        <v>25000</v>
      </c>
      <c r="I30" s="109"/>
      <c r="J30" s="109"/>
      <c r="K30" s="109"/>
      <c r="L30" s="109"/>
      <c r="M30" s="109"/>
      <c r="N30" s="109"/>
      <c r="O30" s="109"/>
      <c r="P30" s="47"/>
      <c r="T30" s="31" t="s">
        <v>27</v>
      </c>
      <c r="U30" s="31"/>
      <c r="V30" s="19"/>
      <c r="X30" s="20"/>
      <c r="Z30" s="19"/>
      <c r="AA30" s="19"/>
      <c r="AB30" s="19"/>
      <c r="AD30" s="18"/>
      <c r="AF30" s="31" t="s">
        <v>27</v>
      </c>
      <c r="AG30" s="31"/>
      <c r="AH30" s="19"/>
      <c r="AJ30" s="20"/>
      <c r="AL30" s="19"/>
      <c r="AM30" s="19"/>
      <c r="AN30" s="19"/>
      <c r="AR30" s="31" t="s">
        <v>27</v>
      </c>
      <c r="AS30" s="31"/>
      <c r="AT30" s="19"/>
      <c r="AV30" s="20"/>
      <c r="AX30" s="19"/>
      <c r="AY30" s="19"/>
      <c r="AZ30" s="19"/>
      <c r="BD30" s="31" t="s">
        <v>27</v>
      </c>
      <c r="BE30" s="31"/>
      <c r="BF30" s="19"/>
      <c r="BH30" s="20"/>
      <c r="BJ30" s="19"/>
      <c r="BK30" s="19"/>
      <c r="BL30" s="19"/>
    </row>
    <row r="31" spans="5:65" ht="18.649999999999999" hidden="1" customHeight="1">
      <c r="E31" s="51"/>
      <c r="F31" s="106"/>
      <c r="G31" s="105"/>
      <c r="H31" s="135"/>
      <c r="I31" s="116"/>
      <c r="J31" s="116"/>
      <c r="K31" s="116"/>
      <c r="L31" s="116"/>
      <c r="M31" s="116"/>
      <c r="N31" s="116"/>
      <c r="O31" s="115"/>
      <c r="P31" s="47"/>
      <c r="T31" s="19"/>
      <c r="U31" s="19"/>
      <c r="V31" s="19"/>
      <c r="W31" s="19"/>
      <c r="X31" s="32"/>
      <c r="Z31" s="19"/>
      <c r="AA31" s="19"/>
      <c r="AB31" s="19"/>
      <c r="AD31" s="18"/>
      <c r="AF31" s="19"/>
      <c r="AG31" s="19"/>
      <c r="AH31" s="19"/>
      <c r="AI31" s="19"/>
      <c r="AJ31" s="32"/>
      <c r="AL31" s="19"/>
      <c r="AM31" s="19"/>
      <c r="AN31" s="19"/>
      <c r="AR31" s="19"/>
      <c r="AS31" s="19"/>
      <c r="AT31" s="19"/>
      <c r="AU31" s="19"/>
      <c r="AV31" s="32"/>
      <c r="AX31" s="19"/>
      <c r="AY31" s="19"/>
      <c r="AZ31" s="19"/>
      <c r="BD31" s="19"/>
      <c r="BE31" s="19"/>
      <c r="BF31" s="19"/>
      <c r="BG31" s="19"/>
      <c r="BH31" s="32"/>
      <c r="BJ31" s="19"/>
      <c r="BK31" s="19"/>
      <c r="BL31" s="19"/>
    </row>
    <row r="32" spans="5:65" ht="48" customHeight="1" thickBot="1">
      <c r="E32" s="51"/>
      <c r="F32" s="98" t="s">
        <v>30</v>
      </c>
      <c r="G32" s="94" t="s">
        <v>31</v>
      </c>
      <c r="H32" s="129" t="s">
        <v>20</v>
      </c>
      <c r="I32" s="129" t="s">
        <v>24</v>
      </c>
      <c r="J32" s="129" t="s">
        <v>20</v>
      </c>
      <c r="K32" s="118" t="s">
        <v>21</v>
      </c>
      <c r="L32" s="129" t="s">
        <v>19</v>
      </c>
      <c r="M32" s="129" t="s">
        <v>21</v>
      </c>
      <c r="N32" s="118" t="s">
        <v>19</v>
      </c>
      <c r="O32" s="118" t="s">
        <v>21</v>
      </c>
      <c r="P32" s="47"/>
      <c r="T32" s="14" t="s">
        <v>1</v>
      </c>
      <c r="V32" s="14" t="s">
        <v>3</v>
      </c>
      <c r="X32" s="15" t="s">
        <v>5</v>
      </c>
      <c r="Y32" s="14" t="s">
        <v>7</v>
      </c>
      <c r="AD32" s="21"/>
      <c r="AF32" s="14" t="s">
        <v>1</v>
      </c>
      <c r="AH32" s="14" t="s">
        <v>3</v>
      </c>
      <c r="AJ32" s="15" t="s">
        <v>5</v>
      </c>
      <c r="AK32" s="14" t="s">
        <v>7</v>
      </c>
      <c r="AR32" s="14" t="s">
        <v>1</v>
      </c>
      <c r="AT32" s="14" t="s">
        <v>3</v>
      </c>
      <c r="AV32" s="15" t="s">
        <v>5</v>
      </c>
      <c r="AW32" s="14" t="s">
        <v>7</v>
      </c>
      <c r="BD32" s="14" t="s">
        <v>1</v>
      </c>
      <c r="BF32" s="14" t="s">
        <v>3</v>
      </c>
      <c r="BH32" s="15" t="s">
        <v>5</v>
      </c>
      <c r="BI32" s="14" t="s">
        <v>7</v>
      </c>
    </row>
    <row r="33" spans="5:66" ht="13" hidden="1" customHeight="1">
      <c r="E33" s="51"/>
      <c r="F33" s="106"/>
      <c r="G33" s="106"/>
      <c r="H33" s="119"/>
      <c r="I33" s="119"/>
      <c r="J33" s="119"/>
      <c r="K33" s="120"/>
      <c r="L33" s="120"/>
      <c r="M33" s="120"/>
      <c r="N33" s="120"/>
      <c r="O33" s="120"/>
      <c r="P33" s="47"/>
      <c r="S33" s="11">
        <v>2027</v>
      </c>
      <c r="T33" s="19" t="s">
        <v>13</v>
      </c>
      <c r="U33" s="19"/>
      <c r="V33" s="19"/>
      <c r="W33" s="19"/>
      <c r="X33" s="20" t="s">
        <v>14</v>
      </c>
      <c r="Y33" s="19"/>
      <c r="Z33" s="19" t="s">
        <v>15</v>
      </c>
      <c r="AA33" s="19" t="s">
        <v>16</v>
      </c>
      <c r="AB33" s="19" t="s">
        <v>17</v>
      </c>
      <c r="AD33" s="21"/>
      <c r="AE33" s="11">
        <v>2027</v>
      </c>
      <c r="AF33" s="19" t="s">
        <v>13</v>
      </c>
      <c r="AG33" s="19"/>
      <c r="AH33" s="19"/>
      <c r="AI33" s="19"/>
      <c r="AJ33" s="20" t="s">
        <v>14</v>
      </c>
      <c r="AK33" s="19"/>
      <c r="AL33" s="19" t="s">
        <v>15</v>
      </c>
      <c r="AM33" s="19" t="s">
        <v>16</v>
      </c>
      <c r="AN33" s="19" t="s">
        <v>17</v>
      </c>
      <c r="AQ33" s="11">
        <v>2027</v>
      </c>
      <c r="AR33" s="19" t="s">
        <v>13</v>
      </c>
      <c r="AS33" s="19"/>
      <c r="AT33" s="19"/>
      <c r="AU33" s="19"/>
      <c r="AV33" s="20" t="s">
        <v>14</v>
      </c>
      <c r="AW33" s="19"/>
      <c r="AX33" s="19" t="s">
        <v>15</v>
      </c>
      <c r="AY33" s="19" t="s">
        <v>16</v>
      </c>
      <c r="AZ33" s="19" t="s">
        <v>17</v>
      </c>
      <c r="BC33" s="11">
        <v>2027</v>
      </c>
      <c r="BD33" s="19" t="s">
        <v>13</v>
      </c>
      <c r="BE33" s="19"/>
      <c r="BF33" s="19"/>
      <c r="BG33" s="19"/>
      <c r="BH33" s="20" t="s">
        <v>14</v>
      </c>
      <c r="BI33" s="19"/>
      <c r="BJ33" s="19" t="s">
        <v>15</v>
      </c>
      <c r="BK33" s="19" t="s">
        <v>16</v>
      </c>
      <c r="BL33" s="19" t="s">
        <v>17</v>
      </c>
    </row>
    <row r="34" spans="5:66" ht="12.5" customHeight="1" thickBot="1">
      <c r="E34" s="51"/>
      <c r="F34" s="89" t="s">
        <v>32</v>
      </c>
      <c r="G34" s="136" t="s">
        <v>23</v>
      </c>
      <c r="H34" s="133" cm="1">
        <f t="array" ref="H34">IFERROR(INDEX($AW$3:$AW$6,$AZ$3,COLUMNS(H34)),0)</f>
        <v>0.13</v>
      </c>
      <c r="I34" s="137" cm="1">
        <f t="array" ref="I34">IFERROR(INDEX($AW$11:$AW$14,$AZ$11,COLUMNS(I34)),0)</f>
        <v>0.31</v>
      </c>
      <c r="J34" s="133" cm="1">
        <f t="array" ref="J34">IFERROR(INDEX($AW$18:$AW$21,$AZ$18,COLUMNS(J34)),0)</f>
        <v>0.04</v>
      </c>
      <c r="K34" s="137" cm="1">
        <f t="array" ref="K34">IFERROR(INDEX($AW$26:$AW$29,$AZ$26,COLUMNS(K34)),0)</f>
        <v>1.96</v>
      </c>
      <c r="L34" s="133" cm="1">
        <f t="array" ref="L34">IFERROR(INDEX($AW$34:$AW$37,$AZ$34,COLUMNS(L34)),0)</f>
        <v>3.79</v>
      </c>
      <c r="M34" s="137" cm="1">
        <f t="array" ref="M34">IFERROR(INDEX($AK$42:$AK$45,$AN$42,COLUMNS(M34)),0)</f>
        <v>0.28999999999999998</v>
      </c>
      <c r="N34" s="137" cm="1">
        <f t="array" ref="N34">IFERROR(INDEX($AK$49:$AK$52,$AN$49,COLUMNS(N34)),0)</f>
        <v>0.04</v>
      </c>
      <c r="O34" s="133" cm="1">
        <f t="array" ref="O34">IFERROR(INDEX($AK$42:$AK$45,$AN$42,COLUMNS(O34)),0)</f>
        <v>0.28999999999999998</v>
      </c>
      <c r="P34" s="47"/>
      <c r="T34" s="19" t="s">
        <v>20</v>
      </c>
      <c r="U34" s="22">
        <v>6.3103606072486995E-2</v>
      </c>
      <c r="V34" s="19">
        <v>5.263196520834483E-2</v>
      </c>
      <c r="W34" s="23">
        <f>2.25370021687454*28/1000</f>
        <v>6.310360607248712E-2</v>
      </c>
      <c r="X34" s="24">
        <f>1.31217903169408*28/1000</f>
        <v>3.6741012887434241E-2</v>
      </c>
      <c r="Y34" s="73">
        <v>0.04</v>
      </c>
      <c r="Z34" s="19">
        <v>1</v>
      </c>
      <c r="AA34" s="19">
        <f>IF((T34=L$12),Z34,"")</f>
        <v>1</v>
      </c>
      <c r="AB34" s="19">
        <f>IFERROR(SMALL(AA$34:AA$37,Z34),"")</f>
        <v>1</v>
      </c>
      <c r="AC34" s="25">
        <v>560560.30000000005</v>
      </c>
      <c r="AD34" s="21"/>
      <c r="AF34" s="19" t="s">
        <v>20</v>
      </c>
      <c r="AG34" s="22">
        <v>6.3103606072486995E-2</v>
      </c>
      <c r="AH34" s="19">
        <v>5.263196520834483E-2</v>
      </c>
      <c r="AI34" s="23">
        <f>2.25370021687454*28/1000</f>
        <v>6.310360607248712E-2</v>
      </c>
      <c r="AJ34" s="24">
        <f>1.31217903169408*28/1000</f>
        <v>3.6741012887434241E-2</v>
      </c>
      <c r="AK34" s="73">
        <v>0.04</v>
      </c>
      <c r="AL34" s="19">
        <v>1</v>
      </c>
      <c r="AM34" s="19">
        <f>IF((AF34=L$22),AL34,"")</f>
        <v>1</v>
      </c>
      <c r="AN34" s="19">
        <f>IFERROR(SMALL(AM$34:AM$37,AL34),"")</f>
        <v>1</v>
      </c>
      <c r="AO34" s="25">
        <v>560560.30000000005</v>
      </c>
      <c r="AR34" s="19" t="s">
        <v>20</v>
      </c>
      <c r="AS34" s="22">
        <v>6.3103606072486995E-2</v>
      </c>
      <c r="AT34" s="19">
        <v>5.263196520834483E-2</v>
      </c>
      <c r="AU34" s="23">
        <f>2.25370021687454*28/1000</f>
        <v>6.310360607248712E-2</v>
      </c>
      <c r="AV34" s="24">
        <f>1.31217903169408*28/1000</f>
        <v>3.6741012887434241E-2</v>
      </c>
      <c r="AW34" s="73">
        <v>0.04</v>
      </c>
      <c r="AX34" s="19">
        <v>1</v>
      </c>
      <c r="AY34" s="19" t="str">
        <f>IF((AR34=L$32),AX34,"")</f>
        <v/>
      </c>
      <c r="AZ34" s="19">
        <f>IFERROR(SMALL(AY$34:AY$37,AX34),"")</f>
        <v>2</v>
      </c>
      <c r="BA34" s="25">
        <v>560560.30000000005</v>
      </c>
      <c r="BD34" s="19" t="s">
        <v>20</v>
      </c>
      <c r="BE34" s="22">
        <v>6.3103606072486995E-2</v>
      </c>
      <c r="BF34" s="19">
        <v>5.263196520834483E-2</v>
      </c>
      <c r="BG34" s="23">
        <f>2.25370021687454*28/1000</f>
        <v>6.310360607248712E-2</v>
      </c>
      <c r="BH34" s="24">
        <f>1.31217903169408*28/1000</f>
        <v>3.6741012887434241E-2</v>
      </c>
      <c r="BI34" s="73">
        <v>0.04</v>
      </c>
      <c r="BJ34" s="19">
        <v>1</v>
      </c>
      <c r="BK34" s="19" t="str">
        <f>IF((BD34=L$42),BJ34,"")</f>
        <v/>
      </c>
      <c r="BL34" s="19">
        <f>IFERROR(SMALL(BK$34:BK$37,BJ34),"")</f>
        <v>2</v>
      </c>
      <c r="BM34" s="25">
        <v>560560.30000000005</v>
      </c>
    </row>
    <row r="35" spans="5:66" ht="17" hidden="1" customHeight="1" thickBot="1">
      <c r="E35" s="51"/>
      <c r="F35" s="138"/>
      <c r="G35" s="106"/>
      <c r="H35" s="116"/>
      <c r="I35" s="113"/>
      <c r="J35" s="116"/>
      <c r="K35" s="113"/>
      <c r="L35" s="116"/>
      <c r="M35" s="113"/>
      <c r="N35" s="113"/>
      <c r="O35" s="116"/>
      <c r="P35" s="50"/>
      <c r="Q35" s="35"/>
      <c r="T35" s="1" t="s">
        <v>19</v>
      </c>
      <c r="U35" s="22">
        <v>0.37641213579118538</v>
      </c>
      <c r="V35" s="14">
        <v>0.32413827132841599</v>
      </c>
      <c r="W35" s="22">
        <f>13.5944329736301*28/1000</f>
        <v>0.38064412326164276</v>
      </c>
      <c r="X35" s="24">
        <f>137.615564922606*28/1000</f>
        <v>3.8532358178329682</v>
      </c>
      <c r="Y35" s="73">
        <v>3.79</v>
      </c>
      <c r="Z35" s="19">
        <v>2</v>
      </c>
      <c r="AA35" s="19" t="str">
        <f>IF((T35=L$12),Z35,"")</f>
        <v/>
      </c>
      <c r="AB35" s="19" t="str">
        <f t="shared" ref="AB35:AB37" si="16">IFERROR(SMALL(AA$18:AA$21,Z35),"")</f>
        <v/>
      </c>
      <c r="AC35" s="25">
        <v>204370.61955760967</v>
      </c>
      <c r="AD35" s="21"/>
      <c r="AF35" s="1" t="s">
        <v>19</v>
      </c>
      <c r="AG35" s="22">
        <v>0.37641213579118538</v>
      </c>
      <c r="AH35" s="14">
        <v>0.32413827132841599</v>
      </c>
      <c r="AI35" s="22">
        <f>13.5944329736301*28/1000</f>
        <v>0.38064412326164276</v>
      </c>
      <c r="AJ35" s="24">
        <f>137.615564922606*28/1000</f>
        <v>3.8532358178329682</v>
      </c>
      <c r="AK35" s="73">
        <v>3.79</v>
      </c>
      <c r="AL35" s="19">
        <v>2</v>
      </c>
      <c r="AM35" s="19" t="str">
        <f>IF((AF35=L$22),AL35,"")</f>
        <v/>
      </c>
      <c r="AN35" s="19" t="str">
        <f t="shared" ref="AN35:AN37" si="17">IFERROR(SMALL(AM$18:AM$21,AL35),"")</f>
        <v/>
      </c>
      <c r="AO35" s="25">
        <v>204370.61955760967</v>
      </c>
      <c r="AR35" s="23" t="s">
        <v>19</v>
      </c>
      <c r="AS35" s="22">
        <v>0.37641213579118538</v>
      </c>
      <c r="AT35" s="14">
        <v>0.32413827132841599</v>
      </c>
      <c r="AU35" s="22">
        <f>13.5944329736301*28/1000</f>
        <v>0.38064412326164276</v>
      </c>
      <c r="AV35" s="24">
        <f>137.615564922606*28/1000</f>
        <v>3.8532358178329682</v>
      </c>
      <c r="AW35" s="73">
        <v>3.79</v>
      </c>
      <c r="AX35" s="19">
        <v>2</v>
      </c>
      <c r="AY35" s="19">
        <f>IF((AR35=L$32),AX35,"")</f>
        <v>2</v>
      </c>
      <c r="AZ35" s="19" t="str">
        <f t="shared" ref="AZ35:AZ37" si="18">IFERROR(SMALL(AY$18:AY$21,AX35),"")</f>
        <v/>
      </c>
      <c r="BA35" s="25">
        <v>204370.61955760967</v>
      </c>
      <c r="BD35" s="23" t="s">
        <v>19</v>
      </c>
      <c r="BE35" s="22">
        <v>0.37641213579118538</v>
      </c>
      <c r="BF35" s="14">
        <v>0.32413827132841599</v>
      </c>
      <c r="BG35" s="22">
        <f>13.5944329736301*28/1000</f>
        <v>0.38064412326164276</v>
      </c>
      <c r="BH35" s="24">
        <f>137.615564922606*28/1000</f>
        <v>3.8532358178329682</v>
      </c>
      <c r="BI35" s="73">
        <v>3.79</v>
      </c>
      <c r="BJ35" s="19">
        <v>2</v>
      </c>
      <c r="BK35" s="19">
        <f>IF((BD35=L$42),BJ35,"")</f>
        <v>2</v>
      </c>
      <c r="BL35" s="19" t="str">
        <f t="shared" ref="BL35:BL37" si="19">IFERROR(SMALL(BK$18:BK$21,BJ35),"")</f>
        <v/>
      </c>
      <c r="BM35" s="25">
        <v>204370.61955760967</v>
      </c>
    </row>
    <row r="36" spans="5:66" ht="17.5" hidden="1" customHeight="1" thickBot="1">
      <c r="E36" s="51"/>
      <c r="F36" s="139"/>
      <c r="G36" s="123"/>
      <c r="H36" s="124"/>
      <c r="I36" s="116"/>
      <c r="J36" s="124"/>
      <c r="K36" s="116"/>
      <c r="L36" s="124"/>
      <c r="M36" s="116"/>
      <c r="N36" s="116"/>
      <c r="O36" s="124"/>
      <c r="P36" s="47"/>
      <c r="Q36" s="36"/>
      <c r="T36" s="1" t="s">
        <v>21</v>
      </c>
      <c r="U36" s="37">
        <v>0.27176340547459749</v>
      </c>
      <c r="V36" s="19">
        <v>0.18273478856549857</v>
      </c>
      <c r="W36" s="23">
        <f>5.62747380016751*28/1000</f>
        <v>0.15756926640469029</v>
      </c>
      <c r="X36" s="28">
        <f>58.7044372035265*28/1000</f>
        <v>1.6437242416987421</v>
      </c>
      <c r="Y36" s="73">
        <v>1.96</v>
      </c>
      <c r="Z36" s="19">
        <v>3</v>
      </c>
      <c r="AA36" s="19" t="str">
        <f>IF((T36=L$12),Z36,"")</f>
        <v/>
      </c>
      <c r="AB36" s="19" t="str">
        <f t="shared" si="16"/>
        <v/>
      </c>
      <c r="AC36" s="25">
        <v>409408.55194349319</v>
      </c>
      <c r="AD36" s="21"/>
      <c r="AF36" s="1" t="s">
        <v>21</v>
      </c>
      <c r="AG36" s="37">
        <v>0.27176340547459749</v>
      </c>
      <c r="AH36" s="19">
        <v>0.18273478856549857</v>
      </c>
      <c r="AI36" s="23">
        <f>5.62747380016751*28/1000</f>
        <v>0.15756926640469029</v>
      </c>
      <c r="AJ36" s="28">
        <f>58.7044372035265*28/1000</f>
        <v>1.6437242416987421</v>
      </c>
      <c r="AK36" s="73">
        <v>1.96</v>
      </c>
      <c r="AL36" s="19">
        <v>3</v>
      </c>
      <c r="AM36" s="19" t="str">
        <f>IF((AF36=L$22),AL36,"")</f>
        <v/>
      </c>
      <c r="AN36" s="19" t="str">
        <f t="shared" si="17"/>
        <v/>
      </c>
      <c r="AO36" s="25">
        <v>409408.55194349319</v>
      </c>
      <c r="AR36" s="23" t="s">
        <v>21</v>
      </c>
      <c r="AS36" s="37">
        <v>0.27176340547459749</v>
      </c>
      <c r="AT36" s="19">
        <v>0.18273478856549857</v>
      </c>
      <c r="AU36" s="23">
        <f>5.62747380016751*28/1000</f>
        <v>0.15756926640469029</v>
      </c>
      <c r="AV36" s="28">
        <f>58.7044372035265*28/1000</f>
        <v>1.6437242416987421</v>
      </c>
      <c r="AW36" s="73">
        <v>1.96</v>
      </c>
      <c r="AX36" s="19">
        <v>3</v>
      </c>
      <c r="AY36" s="19" t="str">
        <f>IF((AR36=L$32),AX36,"")</f>
        <v/>
      </c>
      <c r="AZ36" s="19" t="str">
        <f t="shared" si="18"/>
        <v/>
      </c>
      <c r="BA36" s="25">
        <v>409408.55194349319</v>
      </c>
      <c r="BD36" s="23" t="s">
        <v>21</v>
      </c>
      <c r="BE36" s="37">
        <v>0.27176340547459749</v>
      </c>
      <c r="BF36" s="19">
        <v>0.18273478856549857</v>
      </c>
      <c r="BG36" s="23">
        <f>5.62747380016751*28/1000</f>
        <v>0.15756926640469029</v>
      </c>
      <c r="BH36" s="28">
        <f>58.7044372035265*28/1000</f>
        <v>1.6437242416987421</v>
      </c>
      <c r="BI36" s="73">
        <v>1.96</v>
      </c>
      <c r="BJ36" s="19">
        <v>3</v>
      </c>
      <c r="BK36" s="19" t="str">
        <f>IF((BD36=L$42),BJ36,"")</f>
        <v/>
      </c>
      <c r="BL36" s="19" t="str">
        <f t="shared" si="19"/>
        <v/>
      </c>
      <c r="BM36" s="25">
        <v>409408.55194349319</v>
      </c>
    </row>
    <row r="37" spans="5:66" ht="36.75" customHeight="1">
      <c r="E37" s="51"/>
      <c r="F37" s="91" t="s">
        <v>25</v>
      </c>
      <c r="G37" s="95" t="s">
        <v>26</v>
      </c>
      <c r="H37" s="140"/>
      <c r="I37" s="110">
        <v>0</v>
      </c>
      <c r="J37" s="126"/>
      <c r="K37" s="110"/>
      <c r="L37" s="126"/>
      <c r="M37" s="110"/>
      <c r="N37" s="110"/>
      <c r="O37" s="134"/>
      <c r="P37" s="47"/>
      <c r="T37" s="19" t="s">
        <v>24</v>
      </c>
      <c r="U37" s="22">
        <v>1.1455503509307671E-2</v>
      </c>
      <c r="V37" s="22">
        <v>3.0890141672942052E-2</v>
      </c>
      <c r="W37" s="23">
        <f>0.409125125332417*28/1000</f>
        <v>1.1455503509307676E-2</v>
      </c>
      <c r="X37" s="29">
        <f>10.1429906244724*28/1000</f>
        <v>0.28400373748522717</v>
      </c>
      <c r="Y37" s="73">
        <v>0.28999999999999998</v>
      </c>
      <c r="Z37" s="19">
        <v>4</v>
      </c>
      <c r="AA37" s="19" t="str">
        <f>IF((T37=L$12),Z37,"")</f>
        <v/>
      </c>
      <c r="AB37" s="19" t="str">
        <f t="shared" si="16"/>
        <v/>
      </c>
      <c r="AC37" s="25">
        <v>152413.16353827715</v>
      </c>
      <c r="AF37" s="19" t="s">
        <v>24</v>
      </c>
      <c r="AG37" s="22">
        <v>1.1455503509307671E-2</v>
      </c>
      <c r="AH37" s="19">
        <v>3.0890141672942052E-2</v>
      </c>
      <c r="AI37" s="23">
        <f>0.409125125332417*28/1000</f>
        <v>1.1455503509307676E-2</v>
      </c>
      <c r="AJ37" s="29">
        <f>10.1429906244724*28/1000</f>
        <v>0.28400373748522717</v>
      </c>
      <c r="AK37" s="73">
        <v>0.28999999999999998</v>
      </c>
      <c r="AL37" s="19">
        <v>4</v>
      </c>
      <c r="AM37" s="19" t="str">
        <f>IF((AF37=L$22),AL37,"")</f>
        <v/>
      </c>
      <c r="AN37" s="19" t="str">
        <f t="shared" si="17"/>
        <v/>
      </c>
      <c r="AO37" s="25">
        <v>152413.16353827715</v>
      </c>
      <c r="AR37" s="19" t="s">
        <v>24</v>
      </c>
      <c r="AS37" s="22">
        <v>1.1455503509307671E-2</v>
      </c>
      <c r="AT37" s="19">
        <v>3.0890141672942052E-2</v>
      </c>
      <c r="AU37" s="23">
        <f>0.409125125332417*28/1000</f>
        <v>1.1455503509307676E-2</v>
      </c>
      <c r="AV37" s="29">
        <f>10.1429906244724*28/1000</f>
        <v>0.28400373748522717</v>
      </c>
      <c r="AW37" s="73">
        <v>0.28999999999999998</v>
      </c>
      <c r="AX37" s="19">
        <v>4</v>
      </c>
      <c r="AY37" s="19" t="str">
        <f>IF((AR37=L$32),AX37,"")</f>
        <v/>
      </c>
      <c r="AZ37" s="19" t="str">
        <f t="shared" si="18"/>
        <v/>
      </c>
      <c r="BA37" s="25">
        <v>152413.16353827715</v>
      </c>
      <c r="BD37" s="19" t="s">
        <v>24</v>
      </c>
      <c r="BE37" s="22">
        <v>1.1455503509307671E-2</v>
      </c>
      <c r="BF37" s="19">
        <v>3.0890141672942052E-2</v>
      </c>
      <c r="BG37" s="23">
        <f>0.409125125332417*28/1000</f>
        <v>1.1455503509307676E-2</v>
      </c>
      <c r="BH37" s="29">
        <f>10.1429906244724*28/1000</f>
        <v>0.28400373748522717</v>
      </c>
      <c r="BI37" s="73">
        <v>0.28999999999999998</v>
      </c>
      <c r="BJ37" s="19">
        <v>4</v>
      </c>
      <c r="BK37" s="19" t="str">
        <f>IF((BD37=L$42),BJ37,"")</f>
        <v/>
      </c>
      <c r="BL37" s="19" t="str">
        <f t="shared" si="19"/>
        <v/>
      </c>
      <c r="BM37" s="25">
        <v>152413.16353827715</v>
      </c>
    </row>
    <row r="38" spans="5:66" ht="34.5" customHeight="1" thickBot="1">
      <c r="E38" s="51"/>
      <c r="F38" s="99" t="s">
        <v>28</v>
      </c>
      <c r="G38" s="96" t="s">
        <v>23</v>
      </c>
      <c r="H38" s="112" cm="1">
        <f t="array" ref="H38">IFERROR(INDEX($BM$3:$BM$6,$BL$3,COLUMNS(H38)),"")</f>
        <v>224402.25418018678</v>
      </c>
      <c r="I38" s="112" cm="1">
        <f t="array" ref="I38">IFERROR(INDEX($BM$11:$BM$14,$BL$11,COLUMNS(I38)),"")</f>
        <v>407522.45</v>
      </c>
      <c r="J38" s="112" cm="1">
        <f t="array" ref="J38">IFERROR(INDEX($BM$18:$BM$21,$BL$18,COLUMNS(J38)),"")</f>
        <v>205740.53985253655</v>
      </c>
      <c r="K38" s="112" cm="1">
        <f t="array" ref="K38">IFERROR(INDEX($BM$26:$BM$29,$BL$26,COLUMNS(K38)),"")</f>
        <v>409656.34155479458</v>
      </c>
      <c r="L38" s="112" cm="1">
        <f t="array" ref="L38">IFERROR(INDEX($BM$34:$BM$37,$AN$34,COLUMNS(L38)),"")</f>
        <v>560560.30000000005</v>
      </c>
      <c r="M38" s="112" cm="1">
        <f t="array" ref="M38">IFERROR(INDEX($BM$42:$BM$45,$AN$42,COLUMNS(M38)),"")</f>
        <v>152413.16353827715</v>
      </c>
      <c r="N38" s="112" cm="1">
        <f t="array" ref="N38">IFERROR(INDEX($BM$49:$BM$53,$AN$49,COLUMNS(N38)),"")</f>
        <v>550534.60000000021</v>
      </c>
      <c r="O38" s="112" cm="1">
        <f t="array" ref="O38">IFERROR(INDEX($BM$57:$BM$60,$AN$57,COLUMNS(O38)),"")</f>
        <v>152413.16353827715</v>
      </c>
      <c r="P38" s="47"/>
      <c r="T38" s="31" t="s">
        <v>27</v>
      </c>
      <c r="U38" s="31"/>
      <c r="V38" s="19"/>
      <c r="W38" s="19"/>
      <c r="X38" s="32"/>
      <c r="Y38" s="19"/>
      <c r="Z38" s="19"/>
      <c r="AA38" s="19"/>
      <c r="AB38" s="19"/>
      <c r="AC38" s="18"/>
      <c r="AD38" s="18"/>
      <c r="AF38" s="31" t="s">
        <v>27</v>
      </c>
      <c r="AG38" s="31"/>
      <c r="AH38" s="19"/>
      <c r="AI38" s="19"/>
      <c r="AJ38" s="32"/>
      <c r="AK38" s="19"/>
      <c r="AL38" s="19"/>
      <c r="AM38" s="19"/>
      <c r="AN38" s="19"/>
      <c r="AO38" s="18"/>
      <c r="AR38" s="31" t="s">
        <v>27</v>
      </c>
      <c r="AS38" s="31"/>
      <c r="AT38" s="19"/>
      <c r="AU38" s="19"/>
      <c r="AV38" s="32"/>
      <c r="AW38" s="19"/>
      <c r="AX38" s="19"/>
      <c r="AY38" s="19"/>
      <c r="AZ38" s="19"/>
      <c r="BA38" s="18"/>
      <c r="BD38" s="31" t="s">
        <v>27</v>
      </c>
      <c r="BE38" s="31"/>
      <c r="BF38" s="19"/>
      <c r="BG38" s="19"/>
      <c r="BH38" s="32"/>
      <c r="BI38" s="19"/>
      <c r="BJ38" s="19"/>
      <c r="BK38" s="19"/>
      <c r="BL38" s="19"/>
      <c r="BM38" s="18"/>
    </row>
    <row r="39" spans="5:66" ht="17.25" hidden="1" customHeight="1">
      <c r="E39" s="51"/>
      <c r="F39" s="106"/>
      <c r="G39" s="105"/>
      <c r="H39" s="127"/>
      <c r="I39" s="127"/>
      <c r="J39" s="127"/>
      <c r="K39" s="127"/>
      <c r="L39" s="127"/>
      <c r="M39" s="127"/>
      <c r="N39" s="127"/>
      <c r="O39" s="127"/>
      <c r="P39" s="47"/>
      <c r="T39" s="19"/>
      <c r="U39" s="19"/>
      <c r="V39" s="19"/>
      <c r="W39" s="19"/>
      <c r="X39" s="15"/>
      <c r="Y39" s="19"/>
      <c r="Z39" s="19"/>
      <c r="AA39" s="19"/>
      <c r="AB39" s="19"/>
      <c r="AC39" s="18"/>
      <c r="AD39" s="26"/>
      <c r="AF39" s="19"/>
      <c r="AG39" s="19"/>
      <c r="AH39" s="19"/>
      <c r="AI39" s="19"/>
      <c r="AJ39" s="15"/>
      <c r="AK39" s="19"/>
      <c r="AL39" s="19"/>
      <c r="AM39" s="19"/>
      <c r="AN39" s="19"/>
      <c r="AO39" s="18"/>
      <c r="AR39" s="19"/>
      <c r="AS39" s="19"/>
      <c r="AT39" s="19"/>
      <c r="AU39" s="19"/>
      <c r="AV39" s="15"/>
      <c r="AW39" s="19"/>
      <c r="AX39" s="19"/>
      <c r="AY39" s="19"/>
      <c r="AZ39" s="19"/>
      <c r="BA39" s="18"/>
      <c r="BD39" s="19"/>
      <c r="BE39" s="19"/>
      <c r="BF39" s="19"/>
      <c r="BG39" s="19"/>
      <c r="BH39" s="15"/>
      <c r="BI39" s="19"/>
      <c r="BJ39" s="19"/>
      <c r="BK39" s="19"/>
      <c r="BL39" s="19"/>
      <c r="BM39" s="18"/>
    </row>
    <row r="40" spans="5:66" ht="34.5" customHeight="1">
      <c r="E40" s="51"/>
      <c r="F40" s="100" t="s">
        <v>29</v>
      </c>
      <c r="G40" s="93" t="s">
        <v>26</v>
      </c>
      <c r="H40" s="109"/>
      <c r="I40" s="109"/>
      <c r="J40" s="109"/>
      <c r="K40" s="109"/>
      <c r="L40" s="109"/>
      <c r="M40" s="109"/>
      <c r="N40" s="109"/>
      <c r="O40" s="109"/>
      <c r="P40" s="47"/>
      <c r="T40" s="14" t="s">
        <v>1</v>
      </c>
      <c r="V40" s="14" t="s">
        <v>3</v>
      </c>
      <c r="X40" s="15" t="s">
        <v>5</v>
      </c>
      <c r="Y40" s="14" t="s">
        <v>7</v>
      </c>
      <c r="AC40" s="18"/>
      <c r="AD40" s="26"/>
      <c r="AF40" s="14" t="s">
        <v>1</v>
      </c>
      <c r="AH40" s="14" t="s">
        <v>3</v>
      </c>
      <c r="AJ40" s="15" t="s">
        <v>5</v>
      </c>
      <c r="AK40" s="14" t="s">
        <v>7</v>
      </c>
      <c r="AO40" s="18"/>
      <c r="AR40" s="14" t="s">
        <v>1</v>
      </c>
      <c r="AT40" s="14" t="s">
        <v>3</v>
      </c>
      <c r="AV40" s="15" t="s">
        <v>5</v>
      </c>
      <c r="AW40" s="14" t="s">
        <v>7</v>
      </c>
      <c r="BA40" s="18"/>
      <c r="BD40" s="14" t="s">
        <v>1</v>
      </c>
      <c r="BF40" s="14" t="s">
        <v>3</v>
      </c>
      <c r="BH40" s="15" t="s">
        <v>5</v>
      </c>
      <c r="BI40" s="14" t="s">
        <v>7</v>
      </c>
      <c r="BM40" s="18"/>
    </row>
    <row r="41" spans="5:66" ht="20.5" hidden="1" customHeight="1">
      <c r="E41" s="51"/>
      <c r="F41" s="106"/>
      <c r="G41" s="105"/>
      <c r="H41" s="116"/>
      <c r="I41" s="116"/>
      <c r="J41" s="116"/>
      <c r="K41" s="115"/>
      <c r="L41" s="115"/>
      <c r="M41" s="115"/>
      <c r="N41" s="115"/>
      <c r="O41" s="115"/>
      <c r="P41" s="47"/>
      <c r="S41" s="11">
        <v>2028</v>
      </c>
      <c r="T41" s="19" t="s">
        <v>13</v>
      </c>
      <c r="U41" s="19"/>
      <c r="V41" s="19"/>
      <c r="W41" s="19"/>
      <c r="X41" s="20" t="s">
        <v>14</v>
      </c>
      <c r="Y41" s="19"/>
      <c r="Z41" s="19" t="s">
        <v>15</v>
      </c>
      <c r="AA41" s="19" t="s">
        <v>16</v>
      </c>
      <c r="AB41" s="19" t="s">
        <v>17</v>
      </c>
      <c r="AC41" s="18"/>
      <c r="AD41" s="26"/>
      <c r="AE41" s="11">
        <v>2028</v>
      </c>
      <c r="AF41" s="19" t="s">
        <v>13</v>
      </c>
      <c r="AG41" s="19"/>
      <c r="AH41" s="19"/>
      <c r="AI41" s="19"/>
      <c r="AJ41" s="20" t="s">
        <v>14</v>
      </c>
      <c r="AK41" s="19"/>
      <c r="AL41" s="19" t="s">
        <v>15</v>
      </c>
      <c r="AM41" s="19" t="s">
        <v>16</v>
      </c>
      <c r="AN41" s="19" t="s">
        <v>17</v>
      </c>
      <c r="AO41" s="18"/>
      <c r="AQ41" s="11">
        <v>2028</v>
      </c>
      <c r="AR41" s="19" t="s">
        <v>13</v>
      </c>
      <c r="AS41" s="19"/>
      <c r="AT41" s="19"/>
      <c r="AU41" s="19"/>
      <c r="AV41" s="20" t="s">
        <v>14</v>
      </c>
      <c r="AW41" s="19"/>
      <c r="AX41" s="19" t="s">
        <v>15</v>
      </c>
      <c r="AY41" s="19" t="s">
        <v>16</v>
      </c>
      <c r="AZ41" s="19" t="s">
        <v>17</v>
      </c>
      <c r="BA41" s="18"/>
      <c r="BC41" s="11">
        <v>2028</v>
      </c>
      <c r="BD41" s="19" t="s">
        <v>13</v>
      </c>
      <c r="BE41" s="19"/>
      <c r="BF41" s="19"/>
      <c r="BG41" s="19"/>
      <c r="BH41" s="20" t="s">
        <v>14</v>
      </c>
      <c r="BI41" s="19"/>
      <c r="BJ41" s="19" t="s">
        <v>15</v>
      </c>
      <c r="BK41" s="19" t="s">
        <v>16</v>
      </c>
      <c r="BL41" s="19" t="s">
        <v>17</v>
      </c>
      <c r="BM41" s="18"/>
    </row>
    <row r="42" spans="5:66" ht="43.5" customHeight="1" thickBot="1">
      <c r="E42" s="51"/>
      <c r="F42" s="101" t="s">
        <v>30</v>
      </c>
      <c r="G42" s="94" t="s">
        <v>31</v>
      </c>
      <c r="H42" s="118" t="s">
        <v>19</v>
      </c>
      <c r="I42" s="129" t="s">
        <v>21</v>
      </c>
      <c r="J42" s="118" t="s">
        <v>19</v>
      </c>
      <c r="K42" s="129" t="s">
        <v>21</v>
      </c>
      <c r="L42" s="118" t="s">
        <v>19</v>
      </c>
      <c r="M42" s="118" t="s">
        <v>21</v>
      </c>
      <c r="N42" s="129" t="s">
        <v>19</v>
      </c>
      <c r="O42" s="118" t="s">
        <v>21</v>
      </c>
      <c r="P42" s="47"/>
      <c r="T42" s="19" t="s">
        <v>20</v>
      </c>
      <c r="U42" s="22">
        <v>6.2955981057979504E-2</v>
      </c>
      <c r="V42" s="19">
        <v>5.2559427042672406E-2</v>
      </c>
      <c r="W42" s="23">
        <f>2.24842789492784*28/1000</f>
        <v>6.2955981057979518E-2</v>
      </c>
      <c r="X42" s="24">
        <f>1.31217903169408*28/1000</f>
        <v>3.6741012887434241E-2</v>
      </c>
      <c r="Y42" s="73">
        <v>0.04</v>
      </c>
      <c r="Z42" s="19">
        <v>1</v>
      </c>
      <c r="AA42" s="19" t="str">
        <f>IF((T42=M$12),Z42,"")</f>
        <v/>
      </c>
      <c r="AB42" s="19">
        <f>IFERROR(SMALL(AA$42:AA$45,Z42),"")</f>
        <v>4</v>
      </c>
      <c r="AC42" s="25">
        <v>555547.45000000019</v>
      </c>
      <c r="AD42" s="26"/>
      <c r="AF42" s="19" t="s">
        <v>20</v>
      </c>
      <c r="AG42" s="22">
        <v>6.2955981057979504E-2</v>
      </c>
      <c r="AH42" s="19">
        <v>5.2559427042672406E-2</v>
      </c>
      <c r="AI42" s="23">
        <f>2.24842789492784*28/1000</f>
        <v>6.2955981057979518E-2</v>
      </c>
      <c r="AJ42" s="24">
        <f>1.31217903169408*28/1000</f>
        <v>3.6741012887434241E-2</v>
      </c>
      <c r="AK42" s="73">
        <v>0.04</v>
      </c>
      <c r="AL42" s="19">
        <v>1</v>
      </c>
      <c r="AM42" s="19" t="str">
        <f>IF((AF42=M$22),AL42,"")</f>
        <v/>
      </c>
      <c r="AN42" s="19">
        <f>IFERROR(SMALL(AM$42:AM$45,AL42),"")</f>
        <v>4</v>
      </c>
      <c r="AO42" s="25">
        <v>555547.45000000019</v>
      </c>
      <c r="AR42" s="19" t="s">
        <v>20</v>
      </c>
      <c r="AS42" s="22">
        <v>6.2955981057979504E-2</v>
      </c>
      <c r="AT42" s="19">
        <v>5.2559427042672406E-2</v>
      </c>
      <c r="AU42" s="23">
        <f>2.24842789492784*28/1000</f>
        <v>6.2955981057979518E-2</v>
      </c>
      <c r="AV42" s="24">
        <f>1.31217903169408*28/1000</f>
        <v>3.6741012887434241E-2</v>
      </c>
      <c r="AW42" s="73">
        <v>0.04</v>
      </c>
      <c r="AX42" s="19">
        <v>1</v>
      </c>
      <c r="AY42" s="19" t="str">
        <f>IF((AR42=M$32),AX42,"")</f>
        <v/>
      </c>
      <c r="AZ42" s="19">
        <f>IFERROR(SMALL(AY$42:AY$45,AX42),"")</f>
        <v>3</v>
      </c>
      <c r="BA42" s="25">
        <v>555547.45000000019</v>
      </c>
      <c r="BD42" s="19" t="s">
        <v>20</v>
      </c>
      <c r="BE42" s="22">
        <v>6.2955981057979504E-2</v>
      </c>
      <c r="BF42" s="19">
        <v>5.2559427042672406E-2</v>
      </c>
      <c r="BG42" s="23">
        <f>2.24842789492784*28/1000</f>
        <v>6.2955981057979518E-2</v>
      </c>
      <c r="BH42" s="24">
        <f>1.31217903169408*28/1000</f>
        <v>3.6741012887434241E-2</v>
      </c>
      <c r="BI42" s="73">
        <v>0.04</v>
      </c>
      <c r="BJ42" s="19">
        <v>1</v>
      </c>
      <c r="BK42" s="19" t="str">
        <f>IF((BD42=M$42),BJ42,"")</f>
        <v/>
      </c>
      <c r="BL42" s="19">
        <f>IFERROR(SMALL(BK$42:BK$45,BJ42),"")</f>
        <v>3</v>
      </c>
      <c r="BM42" s="25">
        <v>555547.45000000019</v>
      </c>
      <c r="BN42" s="151" t="s">
        <v>34</v>
      </c>
    </row>
    <row r="43" spans="5:66" ht="13.5" hidden="1" customHeight="1" thickBot="1">
      <c r="E43" s="51"/>
      <c r="F43" s="141"/>
      <c r="G43" s="106"/>
      <c r="H43" s="119"/>
      <c r="I43" s="119"/>
      <c r="J43" s="119"/>
      <c r="K43" s="120"/>
      <c r="L43" s="120"/>
      <c r="M43" s="120"/>
      <c r="N43" s="120"/>
      <c r="O43" s="120"/>
      <c r="P43" s="47"/>
      <c r="Q43" s="35"/>
      <c r="T43" s="1" t="s">
        <v>19</v>
      </c>
      <c r="U43" s="22">
        <v>0.38311550231205072</v>
      </c>
      <c r="V43" s="14">
        <v>0.32773764865442162</v>
      </c>
      <c r="W43" s="22">
        <f>13.6826965111447*28/1000</f>
        <v>0.3831155023120516</v>
      </c>
      <c r="X43" s="24">
        <f>138.507739657636*28/1000</f>
        <v>3.8782167104138079</v>
      </c>
      <c r="Y43" s="73">
        <v>3.79</v>
      </c>
      <c r="Z43" s="19">
        <v>2</v>
      </c>
      <c r="AA43" s="19" t="str">
        <f>IF((T43=M$12),Z43,"")</f>
        <v/>
      </c>
      <c r="AB43" s="19" t="str">
        <f t="shared" ref="AB43:AB45" si="20">IFERROR(SMALL(AA$18:AA$21,Z43),"")</f>
        <v/>
      </c>
      <c r="AC43" s="25">
        <v>198138.0989151742</v>
      </c>
      <c r="AD43" s="18"/>
      <c r="AF43" s="1" t="s">
        <v>19</v>
      </c>
      <c r="AG43" s="22">
        <v>0.38311550231205072</v>
      </c>
      <c r="AH43" s="14">
        <v>0.32773764865442162</v>
      </c>
      <c r="AI43" s="22">
        <f>13.6826965111447*28/1000</f>
        <v>0.3831155023120516</v>
      </c>
      <c r="AJ43" s="24">
        <f>138.507739657636*28/1000</f>
        <v>3.8782167104138079</v>
      </c>
      <c r="AK43" s="73">
        <v>3.79</v>
      </c>
      <c r="AL43" s="19">
        <v>2</v>
      </c>
      <c r="AM43" s="19" t="str">
        <f>IF((AF43=M$22),AL43,"")</f>
        <v/>
      </c>
      <c r="AN43" s="19" t="str">
        <f t="shared" ref="AN43:AN45" si="21">IFERROR(SMALL(AM$18:AM$21,AL43),"")</f>
        <v/>
      </c>
      <c r="AO43" s="25">
        <v>198138.0989151742</v>
      </c>
      <c r="AR43" s="23" t="s">
        <v>19</v>
      </c>
      <c r="AS43" s="22">
        <v>0.38311550231205072</v>
      </c>
      <c r="AT43" s="14">
        <v>0.32773764865442162</v>
      </c>
      <c r="AU43" s="22">
        <f>13.6826965111447*28/1000</f>
        <v>0.3831155023120516</v>
      </c>
      <c r="AV43" s="24">
        <f>138.507739657636*28/1000</f>
        <v>3.8782167104138079</v>
      </c>
      <c r="AW43" s="73">
        <v>3.79</v>
      </c>
      <c r="AX43" s="19">
        <v>2</v>
      </c>
      <c r="AY43" s="19" t="str">
        <f>IF((AR43=M$32),AX43,"")</f>
        <v/>
      </c>
      <c r="AZ43" s="19" t="str">
        <f t="shared" ref="AZ43:AZ45" si="22">IFERROR(SMALL(AY$18:AY$21,AX43),"")</f>
        <v/>
      </c>
      <c r="BA43" s="25">
        <v>198138.0989151742</v>
      </c>
      <c r="BD43" s="23" t="s">
        <v>19</v>
      </c>
      <c r="BE43" s="22">
        <v>0.38311550231205072</v>
      </c>
      <c r="BF43" s="14">
        <v>0.32773764865442162</v>
      </c>
      <c r="BG43" s="22">
        <f>13.6826965111447*28/1000</f>
        <v>0.3831155023120516</v>
      </c>
      <c r="BH43" s="24">
        <f>138.507739657636*28/1000</f>
        <v>3.8782167104138079</v>
      </c>
      <c r="BI43" s="73">
        <v>3.79</v>
      </c>
      <c r="BJ43" s="19">
        <v>2</v>
      </c>
      <c r="BK43" s="19" t="str">
        <f>IF((BD43=M$42),BJ43,"")</f>
        <v/>
      </c>
      <c r="BL43" s="19" t="str">
        <f t="shared" ref="BL43:BL45" si="23">IFERROR(SMALL(BK$18:BK$21,BJ43),"")</f>
        <v/>
      </c>
      <c r="BM43" s="25">
        <v>198138.0989151742</v>
      </c>
    </row>
    <row r="44" spans="5:66" ht="16.5" customHeight="1" thickBot="1">
      <c r="E44" s="51"/>
      <c r="F44" s="89" t="s">
        <v>32</v>
      </c>
      <c r="G44" s="131" t="s">
        <v>23</v>
      </c>
      <c r="H44" s="137" cm="1">
        <f t="array" ref="H44">IFERROR(INDEX($BI$3:$BI$6,$BL$3,COLUMNS(H44)),0)</f>
        <v>4.17</v>
      </c>
      <c r="I44" s="133" cm="1">
        <f t="array" ref="I44">IFERROR(INDEX($BI$11:$BI$14,$BL$11,COLUMNS(I44)),0)</f>
        <v>2.23</v>
      </c>
      <c r="J44" s="137" cm="1">
        <f t="array" ref="J44">IFERROR(INDEX($BI$18:$BI$21,$BL$18,COLUMNS(J44)),0)</f>
        <v>3.79</v>
      </c>
      <c r="K44" s="133" cm="1">
        <f t="array" ref="K44">IFERROR(INDEX($BI$26:$BI$29,$BL$26,COLUMNS(K44)),0)</f>
        <v>1.96</v>
      </c>
      <c r="L44" s="137" cm="1">
        <f t="array" ref="L44">IFERROR(INDEX($BI$34:$BI$37,$BL$34,COLUMNS(L44)),0)</f>
        <v>3.79</v>
      </c>
      <c r="M44" s="137" cm="1">
        <f t="array" ref="M44">IFERROR(INDEX($BI$42:$BI$45,$BL$42,COLUMNS(M44)),0)</f>
        <v>1.96</v>
      </c>
      <c r="N44" s="133" cm="1">
        <f t="array" ref="N44">IFERROR(INDEX($BI$49:$BI$52,$BL$49,COLUMNS(N44)),0)</f>
        <v>3.79</v>
      </c>
      <c r="O44" s="137" cm="1">
        <f t="array" ref="O44">IFERROR(INDEX($BI$57:$BI$60,$BL$57,COLUMNS(O44)),0)</f>
        <v>1.96</v>
      </c>
      <c r="P44" s="50"/>
      <c r="Q44" s="36"/>
      <c r="T44" s="1" t="s">
        <v>21</v>
      </c>
      <c r="U44" s="37">
        <v>0.270397719992997</v>
      </c>
      <c r="V44" s="19">
        <v>0.18188858626299101</v>
      </c>
      <c r="W44" s="23">
        <f>5.59765528377707*28/1000</f>
        <v>0.15673434794575794</v>
      </c>
      <c r="X44" s="28">
        <f>58.7044372035265*28/1000</f>
        <v>1.6437242416987421</v>
      </c>
      <c r="Y44" s="73">
        <v>1.96</v>
      </c>
      <c r="Z44" s="19">
        <v>3</v>
      </c>
      <c r="AA44" s="19" t="str">
        <f>IF((T44=M$12),Z44,"")</f>
        <v/>
      </c>
      <c r="AB44" s="19" t="str">
        <f t="shared" si="20"/>
        <v/>
      </c>
      <c r="AC44" s="25">
        <v>409160.76233219187</v>
      </c>
      <c r="AD44" s="18"/>
      <c r="AF44" s="1" t="s">
        <v>21</v>
      </c>
      <c r="AG44" s="37">
        <v>0.270397719992997</v>
      </c>
      <c r="AH44" s="19">
        <v>0.18188858626299101</v>
      </c>
      <c r="AI44" s="23">
        <f>5.59765528377707*28/1000</f>
        <v>0.15673434794575794</v>
      </c>
      <c r="AJ44" s="28">
        <f>58.7044372035265*28/1000</f>
        <v>1.6437242416987421</v>
      </c>
      <c r="AK44" s="73">
        <v>1.96</v>
      </c>
      <c r="AL44" s="19">
        <v>3</v>
      </c>
      <c r="AM44" s="19" t="str">
        <f>IF((AF44=M$22),AL44,"")</f>
        <v/>
      </c>
      <c r="AN44" s="19" t="str">
        <f t="shared" si="21"/>
        <v/>
      </c>
      <c r="AO44" s="25">
        <v>409160.76233219187</v>
      </c>
      <c r="AR44" s="23" t="s">
        <v>21</v>
      </c>
      <c r="AS44" s="37">
        <v>0.270397719992997</v>
      </c>
      <c r="AT44" s="19">
        <v>0.18188858626299101</v>
      </c>
      <c r="AU44" s="23">
        <f>5.59765528377707*28/1000</f>
        <v>0.15673434794575794</v>
      </c>
      <c r="AV44" s="28">
        <f>58.7044372035265*28/1000</f>
        <v>1.6437242416987421</v>
      </c>
      <c r="AW44" s="73">
        <v>1.96</v>
      </c>
      <c r="AX44" s="19">
        <v>3</v>
      </c>
      <c r="AY44" s="19">
        <f>IF((AR44=M$32),AX44,"")</f>
        <v>3</v>
      </c>
      <c r="AZ44" s="19" t="str">
        <f t="shared" si="22"/>
        <v/>
      </c>
      <c r="BA44" s="25">
        <v>409160.76233219187</v>
      </c>
      <c r="BD44" s="23" t="s">
        <v>21</v>
      </c>
      <c r="BE44" s="37">
        <v>0.270397719992997</v>
      </c>
      <c r="BF44" s="19">
        <v>0.18188858626299101</v>
      </c>
      <c r="BG44" s="23">
        <f>5.59765528377707*28/1000</f>
        <v>0.15673434794575794</v>
      </c>
      <c r="BH44" s="28">
        <f>58.7044372035265*28/1000</f>
        <v>1.6437242416987421</v>
      </c>
      <c r="BI44" s="73">
        <v>1.96</v>
      </c>
      <c r="BJ44" s="19">
        <v>3</v>
      </c>
      <c r="BK44" s="19">
        <f>IF((BD44=M$42),BJ44,"")</f>
        <v>3</v>
      </c>
      <c r="BL44" s="19" t="str">
        <f t="shared" si="23"/>
        <v/>
      </c>
      <c r="BM44" s="25">
        <v>409160.76233219187</v>
      </c>
    </row>
    <row r="45" spans="5:66" ht="27.5" hidden="1" customHeight="1" thickBot="1">
      <c r="E45" s="51"/>
      <c r="F45" s="142"/>
      <c r="G45" s="106"/>
      <c r="H45" s="113"/>
      <c r="I45" s="116"/>
      <c r="J45" s="113"/>
      <c r="K45" s="116"/>
      <c r="L45" s="113"/>
      <c r="M45" s="113"/>
      <c r="N45" s="116"/>
      <c r="O45" s="113"/>
      <c r="P45" s="47"/>
      <c r="T45" s="19" t="s">
        <v>24</v>
      </c>
      <c r="U45" s="22">
        <v>1.1455503509307671E-2</v>
      </c>
      <c r="V45" s="19">
        <v>3.0836867852565668E-2</v>
      </c>
      <c r="W45" s="23">
        <f>0.409125125332417*28/1000</f>
        <v>1.1455503509307676E-2</v>
      </c>
      <c r="X45" s="29">
        <f>10.1429906244724*28/1000</f>
        <v>0.28400373748522717</v>
      </c>
      <c r="Y45" s="73">
        <v>0.28999999999999998</v>
      </c>
      <c r="Z45" s="19">
        <v>4</v>
      </c>
      <c r="AA45" s="19">
        <f>IF((T45=M$12),Z45,"")</f>
        <v>4</v>
      </c>
      <c r="AB45" s="19" t="str">
        <f t="shared" si="20"/>
        <v/>
      </c>
      <c r="AC45" s="25">
        <v>152413.16353827715</v>
      </c>
      <c r="AD45" s="18"/>
      <c r="AF45" s="19" t="s">
        <v>24</v>
      </c>
      <c r="AG45" s="22">
        <v>1.1455503509307671E-2</v>
      </c>
      <c r="AH45" s="19">
        <v>3.0836867852565668E-2</v>
      </c>
      <c r="AI45" s="23">
        <f>0.409125125332417*28/1000</f>
        <v>1.1455503509307676E-2</v>
      </c>
      <c r="AJ45" s="29">
        <f>10.1429906244724*28/1000</f>
        <v>0.28400373748522717</v>
      </c>
      <c r="AK45" s="73">
        <v>0.28999999999999998</v>
      </c>
      <c r="AL45" s="19">
        <v>4</v>
      </c>
      <c r="AM45" s="19">
        <f>IF((AF45=M$22),AL45,"")</f>
        <v>4</v>
      </c>
      <c r="AN45" s="19" t="str">
        <f t="shared" si="21"/>
        <v/>
      </c>
      <c r="AO45" s="25">
        <v>152413.16353827715</v>
      </c>
      <c r="AR45" s="19" t="s">
        <v>24</v>
      </c>
      <c r="AS45" s="22">
        <v>1.1455503509307671E-2</v>
      </c>
      <c r="AT45" s="19">
        <v>3.0836867852565668E-2</v>
      </c>
      <c r="AU45" s="23">
        <f>0.409125125332417*28/1000</f>
        <v>1.1455503509307676E-2</v>
      </c>
      <c r="AV45" s="29">
        <f>10.1429906244724*28/1000</f>
        <v>0.28400373748522717</v>
      </c>
      <c r="AW45" s="73">
        <v>0.28999999999999998</v>
      </c>
      <c r="AX45" s="19">
        <v>4</v>
      </c>
      <c r="AY45" s="19" t="str">
        <f>IF((AR45=M$32),AX45,"")</f>
        <v/>
      </c>
      <c r="AZ45" s="19" t="str">
        <f t="shared" si="22"/>
        <v/>
      </c>
      <c r="BA45" s="25">
        <v>152413.16353827715</v>
      </c>
      <c r="BD45" s="19" t="s">
        <v>24</v>
      </c>
      <c r="BE45" s="22">
        <v>1.1455503509307671E-2</v>
      </c>
      <c r="BF45" s="19">
        <v>3.0836867852565668E-2</v>
      </c>
      <c r="BG45" s="23">
        <f>0.409125125332417*28/1000</f>
        <v>1.1455503509307676E-2</v>
      </c>
      <c r="BH45" s="29">
        <f>10.1429906244724*28/1000</f>
        <v>0.28400373748522717</v>
      </c>
      <c r="BI45" s="73">
        <v>0.28999999999999998</v>
      </c>
      <c r="BJ45" s="19">
        <v>4</v>
      </c>
      <c r="BK45" s="19" t="str">
        <f>IF((BD45=M$42),BJ45,"")</f>
        <v/>
      </c>
      <c r="BL45" s="19" t="str">
        <f t="shared" si="23"/>
        <v/>
      </c>
      <c r="BM45" s="25">
        <v>152413.16353827715</v>
      </c>
    </row>
    <row r="46" spans="5:66" ht="30" hidden="1" customHeight="1">
      <c r="E46" s="51"/>
      <c r="F46" s="143"/>
      <c r="G46" s="123"/>
      <c r="H46" s="116"/>
      <c r="I46" s="116"/>
      <c r="J46" s="116"/>
      <c r="K46" s="116"/>
      <c r="L46" s="116"/>
      <c r="M46" s="116"/>
      <c r="N46" s="116"/>
      <c r="O46" s="116"/>
      <c r="P46" s="47"/>
      <c r="T46" s="31" t="s">
        <v>27</v>
      </c>
      <c r="U46" s="31"/>
      <c r="X46" s="15"/>
      <c r="Y46" s="19"/>
      <c r="Z46" s="19"/>
      <c r="AA46" s="19"/>
      <c r="AB46" s="19"/>
      <c r="AC46" s="18"/>
      <c r="AD46" s="18"/>
      <c r="AF46" s="31" t="s">
        <v>27</v>
      </c>
      <c r="AG46" s="31"/>
      <c r="AJ46" s="15"/>
      <c r="AK46" s="19"/>
      <c r="AL46" s="19"/>
      <c r="AM46" s="19"/>
      <c r="AN46" s="19"/>
      <c r="AO46" s="18"/>
      <c r="AR46" s="31" t="s">
        <v>27</v>
      </c>
      <c r="AS46" s="31"/>
      <c r="AV46" s="15"/>
      <c r="AW46" s="19"/>
      <c r="AX46" s="19"/>
      <c r="AY46" s="19"/>
      <c r="AZ46" s="19"/>
      <c r="BA46" s="18"/>
      <c r="BD46" s="31" t="s">
        <v>27</v>
      </c>
      <c r="BE46" s="31"/>
      <c r="BH46" s="15"/>
      <c r="BI46" s="19"/>
      <c r="BJ46" s="19"/>
      <c r="BK46" s="19"/>
      <c r="BL46" s="19"/>
      <c r="BM46" s="18"/>
    </row>
    <row r="47" spans="5:66" ht="15" hidden="1" customHeight="1" thickBot="1">
      <c r="E47" s="51"/>
      <c r="F47" s="144"/>
      <c r="G47" s="145"/>
      <c r="H47" s="115"/>
      <c r="I47" s="146"/>
      <c r="J47" s="115"/>
      <c r="K47" s="146"/>
      <c r="L47" s="115"/>
      <c r="M47" s="115"/>
      <c r="N47" s="146"/>
      <c r="O47" s="115"/>
      <c r="P47" s="47"/>
      <c r="T47" s="14" t="s">
        <v>1</v>
      </c>
      <c r="V47" s="14" t="s">
        <v>3</v>
      </c>
      <c r="X47" s="15" t="s">
        <v>5</v>
      </c>
      <c r="Y47" s="14" t="s">
        <v>7</v>
      </c>
      <c r="AC47" s="18"/>
      <c r="AD47" s="18"/>
      <c r="AF47" s="14" t="s">
        <v>1</v>
      </c>
      <c r="AH47" s="14" t="s">
        <v>3</v>
      </c>
      <c r="AJ47" s="15" t="s">
        <v>5</v>
      </c>
      <c r="AK47" s="14" t="s">
        <v>7</v>
      </c>
      <c r="AO47" s="18"/>
      <c r="AR47" s="14" t="s">
        <v>1</v>
      </c>
      <c r="AT47" s="14" t="s">
        <v>3</v>
      </c>
      <c r="AV47" s="15" t="s">
        <v>5</v>
      </c>
      <c r="AW47" s="14" t="s">
        <v>7</v>
      </c>
      <c r="BA47" s="18"/>
      <c r="BD47" s="14" t="s">
        <v>1</v>
      </c>
      <c r="BF47" s="14" t="s">
        <v>3</v>
      </c>
      <c r="BH47" s="15" t="s">
        <v>5</v>
      </c>
      <c r="BI47" s="14" t="s">
        <v>7</v>
      </c>
      <c r="BM47" s="18"/>
    </row>
    <row r="48" spans="5:66" ht="35.15" customHeight="1">
      <c r="E48" s="51"/>
      <c r="F48" s="102" t="s">
        <v>35</v>
      </c>
      <c r="G48" s="170" t="s">
        <v>36</v>
      </c>
      <c r="H48" s="147">
        <f>IFERROR((((H7*H14)-(H10*H14))+((H17*H24)-(H20*H24))+((H27*H34)-(H30*H34))+((H37*H44)-(H40*H44)))/1000,"")</f>
        <v>828.12444999999991</v>
      </c>
      <c r="I48" s="148">
        <f t="shared" ref="I48:O48" si="24">IFERROR((((I7*I14)-(I10*I14))+((I17*I24)-(I20*I24))+((I27*I34)-(I30*I34))+((I37*I44)-(I40*I44)))/1000,"")</f>
        <v>0</v>
      </c>
      <c r="J48" s="147">
        <f>IFERROR((((J7*J14)-(J10*J14))+((J17*J24)-(J20*J24))+((J27*J34)-(J30*J34))+((J37*J44)-(J40*J44)))/1000,"")</f>
        <v>0</v>
      </c>
      <c r="K48" s="148">
        <f t="shared" si="24"/>
        <v>0</v>
      </c>
      <c r="L48" s="147">
        <f t="shared" si="24"/>
        <v>0</v>
      </c>
      <c r="M48" s="147">
        <f t="shared" si="24"/>
        <v>0</v>
      </c>
      <c r="N48" s="148">
        <f t="shared" si="24"/>
        <v>0</v>
      </c>
      <c r="O48" s="147">
        <f t="shared" si="24"/>
        <v>0</v>
      </c>
      <c r="P48" s="47"/>
      <c r="S48" s="11">
        <v>2029</v>
      </c>
      <c r="T48" s="19" t="s">
        <v>13</v>
      </c>
      <c r="U48" s="19"/>
      <c r="V48" s="19"/>
      <c r="W48" s="19"/>
      <c r="X48" s="20" t="s">
        <v>14</v>
      </c>
      <c r="Y48" s="19"/>
      <c r="Z48" s="19" t="s">
        <v>15</v>
      </c>
      <c r="AA48" s="19" t="s">
        <v>16</v>
      </c>
      <c r="AB48" s="19" t="s">
        <v>17</v>
      </c>
      <c r="AC48" s="18"/>
      <c r="AD48" s="18"/>
      <c r="AE48" s="11">
        <v>2029</v>
      </c>
      <c r="AF48" s="19" t="s">
        <v>13</v>
      </c>
      <c r="AG48" s="19"/>
      <c r="AH48" s="19"/>
      <c r="AI48" s="19"/>
      <c r="AJ48" s="20" t="s">
        <v>14</v>
      </c>
      <c r="AK48" s="19"/>
      <c r="AL48" s="19" t="s">
        <v>15</v>
      </c>
      <c r="AM48" s="19" t="s">
        <v>16</v>
      </c>
      <c r="AN48" s="19" t="s">
        <v>17</v>
      </c>
      <c r="AO48" s="18"/>
      <c r="AQ48" s="11">
        <v>2029</v>
      </c>
      <c r="AR48" s="19" t="s">
        <v>13</v>
      </c>
      <c r="AS48" s="19"/>
      <c r="AT48" s="19"/>
      <c r="AU48" s="19"/>
      <c r="AV48" s="20" t="s">
        <v>14</v>
      </c>
      <c r="AW48" s="19"/>
      <c r="AX48" s="19" t="s">
        <v>15</v>
      </c>
      <c r="AY48" s="19" t="s">
        <v>16</v>
      </c>
      <c r="AZ48" s="19" t="s">
        <v>17</v>
      </c>
      <c r="BA48" s="18"/>
      <c r="BC48" s="11">
        <v>2029</v>
      </c>
      <c r="BD48" s="19" t="s">
        <v>13</v>
      </c>
      <c r="BE48" s="19"/>
      <c r="BF48" s="19"/>
      <c r="BG48" s="19"/>
      <c r="BH48" s="20" t="s">
        <v>14</v>
      </c>
      <c r="BI48" s="19"/>
      <c r="BJ48" s="19" t="s">
        <v>15</v>
      </c>
      <c r="BK48" s="19" t="s">
        <v>16</v>
      </c>
      <c r="BL48" s="19" t="s">
        <v>17</v>
      </c>
      <c r="BM48" s="18"/>
    </row>
    <row r="49" spans="4:65" ht="31.5" customHeight="1" thickBot="1">
      <c r="E49" s="51"/>
      <c r="F49" s="103" t="s">
        <v>37</v>
      </c>
      <c r="G49" s="171"/>
      <c r="H49" s="149">
        <f>IFERROR(H48,"")</f>
        <v>828.12444999999991</v>
      </c>
      <c r="I49" s="149">
        <f>IFERROR(H49+I48,"")</f>
        <v>828.12444999999991</v>
      </c>
      <c r="J49" s="149">
        <f>IFERROR(J48,"")</f>
        <v>0</v>
      </c>
      <c r="K49" s="149">
        <f t="shared" ref="K49:O49" si="25">IFERROR(J49+K48,"")</f>
        <v>0</v>
      </c>
      <c r="L49" s="149">
        <f t="shared" si="25"/>
        <v>0</v>
      </c>
      <c r="M49" s="149">
        <f t="shared" si="25"/>
        <v>0</v>
      </c>
      <c r="N49" s="149">
        <f t="shared" si="25"/>
        <v>0</v>
      </c>
      <c r="O49" s="149">
        <f t="shared" si="25"/>
        <v>0</v>
      </c>
      <c r="P49" s="47"/>
      <c r="T49" s="19" t="s">
        <v>20</v>
      </c>
      <c r="U49" s="22">
        <v>6.2808356043472027E-2</v>
      </c>
      <c r="V49" s="19">
        <v>5.2488016040592944E-2</v>
      </c>
      <c r="W49" s="23">
        <f>2.24315557298114*28/1000</f>
        <v>6.280835604347193E-2</v>
      </c>
      <c r="X49" s="24">
        <f>1.31217903169408*28/1000</f>
        <v>3.6741012887434241E-2</v>
      </c>
      <c r="Y49" s="73">
        <v>0.04</v>
      </c>
      <c r="Z49" s="19">
        <v>1</v>
      </c>
      <c r="AA49" s="19">
        <f>IF((T49=N$12),Z49,"")</f>
        <v>1</v>
      </c>
      <c r="AB49" s="19">
        <f>IFERROR(SMALL(AA$49:AA$52,Z49),"")</f>
        <v>1</v>
      </c>
      <c r="AC49" s="25">
        <v>550534.60000000021</v>
      </c>
      <c r="AD49" s="18"/>
      <c r="AF49" s="19" t="s">
        <v>20</v>
      </c>
      <c r="AG49" s="22">
        <v>6.2808356043472027E-2</v>
      </c>
      <c r="AH49" s="19">
        <v>5.2488016040592944E-2</v>
      </c>
      <c r="AI49" s="23">
        <f>2.24315557298114*28/1000</f>
        <v>6.280835604347193E-2</v>
      </c>
      <c r="AJ49" s="24">
        <f>1.31217903169408*28/1000</f>
        <v>3.6741012887434241E-2</v>
      </c>
      <c r="AK49" s="73">
        <v>0.04</v>
      </c>
      <c r="AL49" s="19">
        <v>1</v>
      </c>
      <c r="AM49" s="19">
        <f>IF((AF49=N$22),AL49,"")</f>
        <v>1</v>
      </c>
      <c r="AN49" s="19">
        <f>IFERROR(SMALL(AM$49:AM$52,AL49),"")</f>
        <v>1</v>
      </c>
      <c r="AO49" s="25">
        <v>550534.60000000021</v>
      </c>
      <c r="AR49" s="19" t="s">
        <v>20</v>
      </c>
      <c r="AS49" s="22">
        <v>6.2808356043472027E-2</v>
      </c>
      <c r="AT49" s="19">
        <v>5.2488016040592944E-2</v>
      </c>
      <c r="AU49" s="23">
        <f>2.24315557298114*28/1000</f>
        <v>6.280835604347193E-2</v>
      </c>
      <c r="AV49" s="24">
        <f>1.31217903169408*28/1000</f>
        <v>3.6741012887434241E-2</v>
      </c>
      <c r="AW49" s="73">
        <v>0.04</v>
      </c>
      <c r="AX49" s="19">
        <v>1</v>
      </c>
      <c r="AY49" s="19" t="str">
        <f>IF((AR49=N$32),AX49,"")</f>
        <v/>
      </c>
      <c r="AZ49" s="19">
        <f>IFERROR(SMALL(AY$49:AY$52,AX49),"")</f>
        <v>2</v>
      </c>
      <c r="BA49" s="25">
        <v>550534.60000000021</v>
      </c>
      <c r="BD49" s="19" t="s">
        <v>20</v>
      </c>
      <c r="BE49" s="22">
        <v>6.2808356043472027E-2</v>
      </c>
      <c r="BF49" s="19">
        <v>5.2488016040592944E-2</v>
      </c>
      <c r="BG49" s="23">
        <f>2.24315557298114*28/1000</f>
        <v>6.280835604347193E-2</v>
      </c>
      <c r="BH49" s="24">
        <f>1.31217903169408*28/1000</f>
        <v>3.6741012887434241E-2</v>
      </c>
      <c r="BI49" s="73">
        <v>0.04</v>
      </c>
      <c r="BJ49" s="19">
        <v>1</v>
      </c>
      <c r="BK49" s="19" t="str">
        <f>IF((BD49=N$42),BJ49,"")</f>
        <v/>
      </c>
      <c r="BL49" s="19">
        <f>IFERROR(SMALL(BK$49:BK$52,BJ49),"")</f>
        <v>2</v>
      </c>
      <c r="BM49" s="25">
        <v>550534.60000000021</v>
      </c>
    </row>
    <row r="50" spans="4:65" ht="35.15" customHeight="1" thickBot="1">
      <c r="E50" s="51"/>
      <c r="F50" s="104" t="s">
        <v>38</v>
      </c>
      <c r="G50" s="172"/>
      <c r="H50" s="164"/>
      <c r="I50" s="164"/>
      <c r="J50" s="173">
        <f>IFERROR(J48+K48+L48+M48+N48+O48,"")</f>
        <v>0</v>
      </c>
      <c r="K50" s="174"/>
      <c r="L50" s="174"/>
      <c r="M50" s="174"/>
      <c r="N50" s="174"/>
      <c r="O50" s="175"/>
      <c r="P50" s="47"/>
      <c r="T50" s="1" t="s">
        <v>19</v>
      </c>
      <c r="U50" s="22">
        <v>0.38987378831128389</v>
      </c>
      <c r="V50" s="14">
        <v>0.3313562820970043</v>
      </c>
      <c r="W50" s="22">
        <f>13.9240638682601*28/1000</f>
        <v>0.38987378831128278</v>
      </c>
      <c r="X50" s="24">
        <f>139.399914392665*28/1000</f>
        <v>3.9031976029946205</v>
      </c>
      <c r="Y50" s="73">
        <v>3.79</v>
      </c>
      <c r="Z50" s="19">
        <v>2</v>
      </c>
      <c r="AA50" s="19" t="str">
        <f>IF((T50=N$12),Z50,"")</f>
        <v/>
      </c>
      <c r="AB50" s="19" t="str">
        <f t="shared" ref="AB50:AB52" si="26">IFERROR(SMALL(AA$18:AA$21,Z50),"")</f>
        <v/>
      </c>
      <c r="AC50" s="25">
        <v>191896.60349347515</v>
      </c>
      <c r="AD50" s="18"/>
      <c r="AF50" s="1" t="s">
        <v>19</v>
      </c>
      <c r="AG50" s="22">
        <v>0.38987378831128389</v>
      </c>
      <c r="AH50" s="14">
        <v>0.3313562820970043</v>
      </c>
      <c r="AI50" s="22">
        <f>13.9240638682601*28/1000</f>
        <v>0.38987378831128278</v>
      </c>
      <c r="AJ50" s="24">
        <f>139.399914392665*28/1000</f>
        <v>3.9031976029946205</v>
      </c>
      <c r="AK50" s="73">
        <v>3.79</v>
      </c>
      <c r="AL50" s="19">
        <v>2</v>
      </c>
      <c r="AM50" s="19" t="str">
        <f>IF((AF50=N$22),AL50,"")</f>
        <v/>
      </c>
      <c r="AN50" s="19" t="str">
        <f t="shared" ref="AN50:AN52" si="27">IFERROR(SMALL(AM$18:AM$21,AL50),"")</f>
        <v/>
      </c>
      <c r="AO50" s="25">
        <v>191896.60349347515</v>
      </c>
      <c r="AR50" s="23" t="s">
        <v>19</v>
      </c>
      <c r="AS50" s="22">
        <v>0.38987378831128389</v>
      </c>
      <c r="AT50" s="14">
        <v>0.3313562820970043</v>
      </c>
      <c r="AU50" s="22">
        <f>13.9240638682601*28/1000</f>
        <v>0.38987378831128278</v>
      </c>
      <c r="AV50" s="24">
        <f>139.399914392665*28/1000</f>
        <v>3.9031976029946205</v>
      </c>
      <c r="AW50" s="73">
        <v>3.79</v>
      </c>
      <c r="AX50" s="19">
        <v>2</v>
      </c>
      <c r="AY50" s="19">
        <f>IF((AR50=N$32),AX50,"")</f>
        <v>2</v>
      </c>
      <c r="AZ50" s="19" t="str">
        <f t="shared" ref="AZ50:AZ52" si="28">IFERROR(SMALL(AY$18:AY$21,AX50),"")</f>
        <v/>
      </c>
      <c r="BA50" s="25">
        <v>191896.60349347515</v>
      </c>
      <c r="BD50" s="23" t="s">
        <v>19</v>
      </c>
      <c r="BE50" s="22">
        <v>0.38987378831128389</v>
      </c>
      <c r="BF50" s="14">
        <v>0.3313562820970043</v>
      </c>
      <c r="BG50" s="22">
        <f>13.9240638682601*28/1000</f>
        <v>0.38987378831128278</v>
      </c>
      <c r="BH50" s="24">
        <f>139.399914392665*28/1000</f>
        <v>3.9031976029946205</v>
      </c>
      <c r="BI50" s="73">
        <v>3.79</v>
      </c>
      <c r="BJ50" s="19">
        <v>2</v>
      </c>
      <c r="BK50" s="19">
        <f>IF((BD50=N$42),BJ50,"")</f>
        <v>2</v>
      </c>
      <c r="BL50" s="19" t="str">
        <f t="shared" ref="BL50:BL52" si="29">IFERROR(SMALL(BK$18:BK$21,BJ50),"")</f>
        <v/>
      </c>
      <c r="BM50" s="25">
        <v>191896.60349347515</v>
      </c>
    </row>
    <row r="51" spans="4:65" ht="13" customHeight="1" thickTop="1">
      <c r="E51" s="52"/>
      <c r="F51" s="54"/>
      <c r="G51" s="74"/>
      <c r="H51" s="54"/>
      <c r="I51" s="54"/>
      <c r="J51" s="54"/>
      <c r="K51" s="54"/>
      <c r="L51" s="54"/>
      <c r="M51" s="54"/>
      <c r="N51" s="54"/>
      <c r="O51" s="54"/>
      <c r="P51" s="53"/>
      <c r="T51" s="1" t="s">
        <v>21</v>
      </c>
      <c r="U51" s="37">
        <v>0.26903099050847795</v>
      </c>
      <c r="V51" s="19">
        <v>0.1810478072690255</v>
      </c>
      <c r="W51" s="23">
        <f>5.56783676738663*28/1000</f>
        <v>0.15589942948682561</v>
      </c>
      <c r="X51" s="28">
        <f>58.7044372035265*28/1000</f>
        <v>1.6437242416987421</v>
      </c>
      <c r="Y51" s="73">
        <v>1.96</v>
      </c>
      <c r="Z51" s="19">
        <v>3</v>
      </c>
      <c r="AA51" s="19" t="str">
        <f>IF((T51=N$12),Z51,"")</f>
        <v/>
      </c>
      <c r="AB51" s="19" t="str">
        <f t="shared" si="26"/>
        <v/>
      </c>
      <c r="AC51" s="25">
        <v>408912.97272089048</v>
      </c>
      <c r="AD51" s="18"/>
      <c r="AF51" s="1" t="s">
        <v>21</v>
      </c>
      <c r="AG51" s="37">
        <v>0.26903099050847795</v>
      </c>
      <c r="AH51" s="19">
        <v>0.1810478072690255</v>
      </c>
      <c r="AI51" s="23">
        <f>5.56783676738663*28/1000</f>
        <v>0.15589942948682561</v>
      </c>
      <c r="AJ51" s="28">
        <f>58.7044372035265*28/1000</f>
        <v>1.6437242416987421</v>
      </c>
      <c r="AK51" s="73">
        <v>1.96</v>
      </c>
      <c r="AL51" s="19">
        <v>3</v>
      </c>
      <c r="AM51" s="19" t="str">
        <f>IF((AF51=N$22),AL51,"")</f>
        <v/>
      </c>
      <c r="AN51" s="19" t="str">
        <f t="shared" si="27"/>
        <v/>
      </c>
      <c r="AO51" s="25">
        <v>408912.97272089048</v>
      </c>
      <c r="AR51" s="23" t="s">
        <v>21</v>
      </c>
      <c r="AS51" s="37">
        <v>0.26903099050847795</v>
      </c>
      <c r="AT51" s="19">
        <v>0.1810478072690255</v>
      </c>
      <c r="AU51" s="23">
        <f>5.56783676738663*28/1000</f>
        <v>0.15589942948682561</v>
      </c>
      <c r="AV51" s="28">
        <f>58.7044372035265*28/1000</f>
        <v>1.6437242416987421</v>
      </c>
      <c r="AW51" s="73">
        <v>1.96</v>
      </c>
      <c r="AX51" s="19">
        <v>3</v>
      </c>
      <c r="AY51" s="19" t="str">
        <f>IF((AR51=N$32),AX51,"")</f>
        <v/>
      </c>
      <c r="AZ51" s="19" t="str">
        <f t="shared" si="28"/>
        <v/>
      </c>
      <c r="BA51" s="25">
        <v>408912.97272089048</v>
      </c>
      <c r="BD51" s="23" t="s">
        <v>21</v>
      </c>
      <c r="BE51" s="37">
        <v>0.26903099050847795</v>
      </c>
      <c r="BF51" s="19">
        <v>0.1810478072690255</v>
      </c>
      <c r="BG51" s="23">
        <f>5.56783676738663*28/1000</f>
        <v>0.15589942948682561</v>
      </c>
      <c r="BH51" s="28">
        <f>58.7044372035265*28/1000</f>
        <v>1.6437242416987421</v>
      </c>
      <c r="BI51" s="73">
        <v>1.96</v>
      </c>
      <c r="BJ51" s="19">
        <v>3</v>
      </c>
      <c r="BK51" s="19" t="str">
        <f>IF((BD51=N$42),BJ51,"")</f>
        <v/>
      </c>
      <c r="BL51" s="19" t="str">
        <f t="shared" si="29"/>
        <v/>
      </c>
      <c r="BM51" s="25">
        <v>408912.97272089048</v>
      </c>
    </row>
    <row r="52" spans="4:65" ht="13" customHeight="1">
      <c r="T52" s="19" t="s">
        <v>24</v>
      </c>
      <c r="U52" s="22">
        <v>1.1455503509307671E-2</v>
      </c>
      <c r="V52" s="19">
        <v>3.0784286909642616E-2</v>
      </c>
      <c r="W52" s="23">
        <f>0.409125125332417*28/1000</f>
        <v>1.1455503509307676E-2</v>
      </c>
      <c r="X52" s="29">
        <f>10.1429906244724*28/1000</f>
        <v>0.28400373748522717</v>
      </c>
      <c r="Y52" s="73">
        <v>0.28999999999999998</v>
      </c>
      <c r="Z52" s="19">
        <v>4</v>
      </c>
      <c r="AA52" s="19" t="str">
        <f>IF((T52=N$12),Z52,"")</f>
        <v/>
      </c>
      <c r="AB52" s="19" t="str">
        <f t="shared" si="26"/>
        <v/>
      </c>
      <c r="AC52" s="25">
        <v>152413.16353827715</v>
      </c>
      <c r="AD52" s="18"/>
      <c r="AF52" s="19" t="s">
        <v>24</v>
      </c>
      <c r="AG52" s="22">
        <v>1.1455503509307671E-2</v>
      </c>
      <c r="AH52" s="19">
        <v>3.0784286909642616E-2</v>
      </c>
      <c r="AI52" s="23">
        <f>0.409125125332417*28/1000</f>
        <v>1.1455503509307676E-2</v>
      </c>
      <c r="AJ52" s="29">
        <f>10.1429906244724*28/1000</f>
        <v>0.28400373748522717</v>
      </c>
      <c r="AK52" s="73">
        <v>0.28999999999999998</v>
      </c>
      <c r="AL52" s="19">
        <v>4</v>
      </c>
      <c r="AM52" s="19" t="str">
        <f>IF((AF52=N$22),AL52,"")</f>
        <v/>
      </c>
      <c r="AN52" s="19" t="str">
        <f t="shared" si="27"/>
        <v/>
      </c>
      <c r="AO52" s="25">
        <v>152413.16353827715</v>
      </c>
      <c r="AR52" s="19" t="s">
        <v>24</v>
      </c>
      <c r="AS52" s="22">
        <v>1.1455503509307671E-2</v>
      </c>
      <c r="AT52" s="19">
        <v>3.0784286909642616E-2</v>
      </c>
      <c r="AU52" s="23">
        <f>0.409125125332417*28/1000</f>
        <v>1.1455503509307676E-2</v>
      </c>
      <c r="AV52" s="29">
        <f>10.1429906244724*28/1000</f>
        <v>0.28400373748522717</v>
      </c>
      <c r="AW52" s="73">
        <v>0.28999999999999998</v>
      </c>
      <c r="AX52" s="19">
        <v>4</v>
      </c>
      <c r="AY52" s="19" t="str">
        <f>IF((AR52=N$32),AX52,"")</f>
        <v/>
      </c>
      <c r="AZ52" s="19" t="str">
        <f t="shared" si="28"/>
        <v/>
      </c>
      <c r="BA52" s="25">
        <v>152413.16353827715</v>
      </c>
      <c r="BD52" s="19" t="s">
        <v>24</v>
      </c>
      <c r="BE52" s="22">
        <v>1.1455503509307671E-2</v>
      </c>
      <c r="BF52" s="19">
        <v>3.0784286909642616E-2</v>
      </c>
      <c r="BG52" s="23">
        <f>0.409125125332417*28/1000</f>
        <v>1.1455503509307676E-2</v>
      </c>
      <c r="BH52" s="29">
        <f>10.1429906244724*28/1000</f>
        <v>0.28400373748522717</v>
      </c>
      <c r="BI52" s="73">
        <v>0.28999999999999998</v>
      </c>
      <c r="BJ52" s="19">
        <v>4</v>
      </c>
      <c r="BK52" s="19" t="str">
        <f>IF((BD52=N$42),BJ52,"")</f>
        <v/>
      </c>
      <c r="BL52" s="19" t="str">
        <f t="shared" si="29"/>
        <v/>
      </c>
      <c r="BM52" s="25">
        <v>152413.16353827715</v>
      </c>
    </row>
    <row r="53" spans="4:65" ht="13" customHeight="1">
      <c r="T53" s="31" t="s">
        <v>27</v>
      </c>
      <c r="U53" s="31"/>
      <c r="V53" s="19"/>
      <c r="W53" s="19"/>
      <c r="X53" s="32"/>
      <c r="Y53" s="19"/>
      <c r="Z53" s="19"/>
      <c r="AA53" s="19"/>
      <c r="AB53" s="19"/>
      <c r="AC53" s="18"/>
      <c r="AD53" s="18"/>
      <c r="AF53" s="31" t="s">
        <v>27</v>
      </c>
      <c r="AG53" s="31"/>
      <c r="AH53" s="19"/>
      <c r="AI53" s="19"/>
      <c r="AJ53" s="32"/>
      <c r="AK53" s="19"/>
      <c r="AL53" s="19"/>
      <c r="AM53" s="19"/>
      <c r="AN53" s="19"/>
      <c r="AO53" s="18"/>
      <c r="AR53" s="31" t="s">
        <v>27</v>
      </c>
      <c r="AS53" s="31"/>
      <c r="AT53" s="19"/>
      <c r="AU53" s="19"/>
      <c r="AV53" s="32"/>
      <c r="AW53" s="19"/>
      <c r="AX53" s="19"/>
      <c r="AY53" s="19"/>
      <c r="AZ53" s="19"/>
      <c r="BA53" s="18"/>
      <c r="BD53" s="31" t="s">
        <v>27</v>
      </c>
      <c r="BE53" s="31"/>
      <c r="BF53" s="19"/>
      <c r="BG53" s="19"/>
      <c r="BH53" s="32"/>
      <c r="BI53" s="19"/>
      <c r="BJ53" s="19"/>
      <c r="BK53" s="19"/>
      <c r="BL53" s="19"/>
      <c r="BM53" s="18"/>
    </row>
    <row r="54" spans="4:65" ht="13" customHeight="1">
      <c r="T54" s="19"/>
      <c r="U54" s="19"/>
      <c r="V54" s="19"/>
      <c r="W54" s="19"/>
      <c r="X54" s="15"/>
      <c r="Y54" s="19"/>
      <c r="Z54" s="19"/>
      <c r="AA54" s="19"/>
      <c r="AB54" s="19"/>
      <c r="AC54" s="18"/>
      <c r="AD54" s="18"/>
      <c r="AF54" s="19"/>
      <c r="AG54" s="19"/>
      <c r="AH54" s="19"/>
      <c r="AI54" s="19"/>
      <c r="AJ54" s="15"/>
      <c r="AK54" s="19"/>
      <c r="AL54" s="19"/>
      <c r="AM54" s="19"/>
      <c r="AN54" s="19"/>
      <c r="AO54" s="18"/>
      <c r="AR54" s="19"/>
      <c r="AS54" s="19"/>
      <c r="AT54" s="19"/>
      <c r="AU54" s="19"/>
      <c r="AV54" s="15"/>
      <c r="AW54" s="19"/>
      <c r="AX54" s="19"/>
      <c r="AY54" s="19"/>
      <c r="AZ54" s="19"/>
      <c r="BA54" s="18"/>
      <c r="BD54" s="19"/>
      <c r="BE54" s="19"/>
      <c r="BF54" s="19"/>
      <c r="BG54" s="19"/>
      <c r="BH54" s="15"/>
      <c r="BI54" s="19"/>
      <c r="BJ54" s="19"/>
      <c r="BK54" s="19"/>
      <c r="BL54" s="19"/>
      <c r="BM54" s="18"/>
    </row>
    <row r="55" spans="4:65" ht="13" customHeight="1">
      <c r="D55" s="57"/>
      <c r="E55" s="57"/>
      <c r="F55" s="150" t="s">
        <v>33</v>
      </c>
      <c r="G55" s="57"/>
      <c r="H55" s="57"/>
      <c r="I55" s="57"/>
      <c r="J55" s="57"/>
      <c r="K55" s="57"/>
      <c r="L55" s="57"/>
      <c r="T55" s="14" t="s">
        <v>1</v>
      </c>
      <c r="V55" s="14" t="s">
        <v>3</v>
      </c>
      <c r="X55" s="15" t="s">
        <v>5</v>
      </c>
      <c r="Y55" s="14" t="s">
        <v>7</v>
      </c>
      <c r="AC55" s="18"/>
      <c r="AD55" s="18"/>
      <c r="AF55" s="14" t="s">
        <v>1</v>
      </c>
      <c r="AH55" s="14" t="s">
        <v>3</v>
      </c>
      <c r="AJ55" s="15" t="s">
        <v>5</v>
      </c>
      <c r="AK55" s="14" t="s">
        <v>7</v>
      </c>
      <c r="AO55" s="18"/>
      <c r="AR55" s="14" t="s">
        <v>1</v>
      </c>
      <c r="AT55" s="14" t="s">
        <v>3</v>
      </c>
      <c r="AV55" s="15" t="s">
        <v>5</v>
      </c>
      <c r="AW55" s="14" t="s">
        <v>7</v>
      </c>
      <c r="BA55" s="18"/>
      <c r="BD55" s="14" t="s">
        <v>1</v>
      </c>
      <c r="BF55" s="14" t="s">
        <v>3</v>
      </c>
      <c r="BH55" s="15" t="s">
        <v>5</v>
      </c>
      <c r="BI55" s="14" t="s">
        <v>7</v>
      </c>
      <c r="BM55" s="18"/>
    </row>
    <row r="56" spans="4:65" ht="13" customHeight="1">
      <c r="D56" s="57"/>
      <c r="E56" s="57"/>
      <c r="F56" s="57"/>
      <c r="G56" s="57"/>
      <c r="H56" s="57"/>
      <c r="I56" s="57"/>
      <c r="J56" s="57"/>
      <c r="K56" s="57"/>
      <c r="L56" s="57"/>
      <c r="S56" s="11">
        <v>2030</v>
      </c>
      <c r="T56" s="19" t="s">
        <v>13</v>
      </c>
      <c r="U56" s="19"/>
      <c r="V56" s="19"/>
      <c r="W56" s="19"/>
      <c r="X56" s="20" t="s">
        <v>14</v>
      </c>
      <c r="Y56" s="19"/>
      <c r="Z56" s="19" t="s">
        <v>15</v>
      </c>
      <c r="AA56" s="19" t="s">
        <v>16</v>
      </c>
      <c r="AB56" s="19" t="s">
        <v>17</v>
      </c>
      <c r="AC56" s="18"/>
      <c r="AD56" s="18"/>
      <c r="AE56" s="11">
        <v>2030</v>
      </c>
      <c r="AF56" s="19" t="s">
        <v>13</v>
      </c>
      <c r="AG56" s="19"/>
      <c r="AH56" s="19"/>
      <c r="AI56" s="19"/>
      <c r="AJ56" s="20" t="s">
        <v>14</v>
      </c>
      <c r="AK56" s="19"/>
      <c r="AL56" s="19" t="s">
        <v>15</v>
      </c>
      <c r="AM56" s="19" t="s">
        <v>16</v>
      </c>
      <c r="AN56" s="19" t="s">
        <v>17</v>
      </c>
      <c r="AO56" s="18"/>
      <c r="AQ56" s="11">
        <v>2030</v>
      </c>
      <c r="AR56" s="19" t="s">
        <v>13</v>
      </c>
      <c r="AS56" s="19"/>
      <c r="AT56" s="19"/>
      <c r="AU56" s="19"/>
      <c r="AV56" s="20" t="s">
        <v>14</v>
      </c>
      <c r="AW56" s="19"/>
      <c r="AX56" s="19" t="s">
        <v>15</v>
      </c>
      <c r="AY56" s="19" t="s">
        <v>16</v>
      </c>
      <c r="AZ56" s="19" t="s">
        <v>17</v>
      </c>
      <c r="BA56" s="18"/>
      <c r="BC56" s="11">
        <v>2030</v>
      </c>
      <c r="BD56" s="19" t="s">
        <v>13</v>
      </c>
      <c r="BE56" s="19"/>
      <c r="BF56" s="19"/>
      <c r="BG56" s="19"/>
      <c r="BH56" s="20" t="s">
        <v>14</v>
      </c>
      <c r="BI56" s="19"/>
      <c r="BJ56" s="19" t="s">
        <v>15</v>
      </c>
      <c r="BK56" s="19" t="s">
        <v>16</v>
      </c>
      <c r="BL56" s="19" t="s">
        <v>17</v>
      </c>
      <c r="BM56" s="18"/>
    </row>
    <row r="57" spans="4:65" ht="13" customHeight="1">
      <c r="D57" s="57"/>
      <c r="E57" s="57"/>
      <c r="F57" s="57"/>
      <c r="G57" s="57"/>
      <c r="H57" s="57"/>
      <c r="I57" s="57"/>
      <c r="J57" s="57"/>
      <c r="K57" s="57"/>
      <c r="L57" s="57"/>
      <c r="T57" s="19" t="s">
        <v>20</v>
      </c>
      <c r="U57" s="22">
        <v>6.2660731028964536E-2</v>
      </c>
      <c r="V57" s="19">
        <v>5.2417705756517365E-2</v>
      </c>
      <c r="W57" s="23">
        <f>2.23788325103445*28/1000</f>
        <v>6.2660731028964606E-2</v>
      </c>
      <c r="X57" s="24">
        <f>1.31217903169408*28/1000</f>
        <v>3.6741012887434241E-2</v>
      </c>
      <c r="Y57" s="73">
        <v>0.04</v>
      </c>
      <c r="Z57" s="19">
        <v>1</v>
      </c>
      <c r="AA57" s="19" t="str">
        <f>IF((T57=O$12),Z57,"")</f>
        <v/>
      </c>
      <c r="AB57" s="19">
        <f>IFERROR(SMALL(AA$57:AA$71,Z57),"")</f>
        <v>4</v>
      </c>
      <c r="AC57" s="25">
        <v>545521.75</v>
      </c>
      <c r="AD57" s="18"/>
      <c r="AF57" s="19" t="s">
        <v>20</v>
      </c>
      <c r="AG57" s="22">
        <v>6.2660731028964536E-2</v>
      </c>
      <c r="AH57" s="19">
        <v>5.2417705756517365E-2</v>
      </c>
      <c r="AI57" s="23">
        <f>2.23788325103445*28/1000</f>
        <v>6.2660731028964606E-2</v>
      </c>
      <c r="AJ57" s="24">
        <f>1.31217903169408*28/1000</f>
        <v>3.6741012887434241E-2</v>
      </c>
      <c r="AK57" s="73">
        <v>0.04</v>
      </c>
      <c r="AL57" s="19">
        <v>1</v>
      </c>
      <c r="AM57" s="19" t="str">
        <f>IF((AF57=O$22),AL57,"")</f>
        <v/>
      </c>
      <c r="AN57" s="19">
        <f>IFERROR(SMALL(AM$57:AM$71,AL57),"")</f>
        <v>4</v>
      </c>
      <c r="AO57" s="25">
        <v>545521.75</v>
      </c>
      <c r="AR57" s="19" t="s">
        <v>20</v>
      </c>
      <c r="AS57" s="22">
        <v>6.2660731028964536E-2</v>
      </c>
      <c r="AT57" s="19">
        <v>5.2417705756517365E-2</v>
      </c>
      <c r="AU57" s="23">
        <f>2.23788325103445*28/1000</f>
        <v>6.2660731028964606E-2</v>
      </c>
      <c r="AV57" s="24">
        <f>1.31217903169408*28/1000</f>
        <v>3.6741012887434241E-2</v>
      </c>
      <c r="AW57" s="73">
        <v>0.04</v>
      </c>
      <c r="AX57" s="19">
        <v>1</v>
      </c>
      <c r="AY57" s="19" t="str">
        <f>IF((AR57=O$32),AX57,"")</f>
        <v/>
      </c>
      <c r="AZ57" s="19">
        <f>IFERROR(SMALL(AY$57:AY$71,AX57),"")</f>
        <v>3</v>
      </c>
      <c r="BA57" s="25">
        <v>545521.75</v>
      </c>
      <c r="BD57" s="19" t="s">
        <v>20</v>
      </c>
      <c r="BE57" s="22">
        <v>6.2660731028964536E-2</v>
      </c>
      <c r="BF57" s="19">
        <v>5.2417705756517365E-2</v>
      </c>
      <c r="BG57" s="23">
        <f>2.23788325103445*28/1000</f>
        <v>6.2660731028964606E-2</v>
      </c>
      <c r="BH57" s="24">
        <f>1.31217903169408*28/1000</f>
        <v>3.6741012887434241E-2</v>
      </c>
      <c r="BI57" s="73">
        <v>0.04</v>
      </c>
      <c r="BJ57" s="19">
        <v>1</v>
      </c>
      <c r="BK57" s="19" t="str">
        <f>IF((BD57=O$42),BJ57,"")</f>
        <v/>
      </c>
      <c r="BL57" s="19">
        <f>IFERROR(SMALL(BK$57:BK$71,BJ57),"")</f>
        <v>3</v>
      </c>
      <c r="BM57" s="25">
        <v>545521.75</v>
      </c>
    </row>
    <row r="58" spans="4:65" ht="13" customHeight="1">
      <c r="D58" s="57"/>
      <c r="E58" s="57"/>
      <c r="F58" s="57"/>
      <c r="G58" s="57"/>
      <c r="H58" s="57"/>
      <c r="I58" s="57"/>
      <c r="J58" s="57"/>
      <c r="K58" s="57"/>
      <c r="L58" s="57"/>
      <c r="T58" s="1" t="s">
        <v>19</v>
      </c>
      <c r="U58" s="22">
        <v>0.39668699378888461</v>
      </c>
      <c r="V58" s="14">
        <v>0.33499408451269952</v>
      </c>
      <c r="W58" s="22">
        <f>14.1673926353173*28/1000</f>
        <v>0.39668699378888445</v>
      </c>
      <c r="X58" s="20">
        <f>140.292089127694*28/1000</f>
        <v>3.9281784955754318</v>
      </c>
      <c r="Y58" s="73">
        <v>3.79</v>
      </c>
      <c r="Z58" s="19">
        <v>2</v>
      </c>
      <c r="AA58" s="19" t="str">
        <f>IF((T58=O$12),Z58,"")</f>
        <v/>
      </c>
      <c r="AB58" s="19" t="str">
        <f t="shared" ref="AB58:AB60" si="30">IFERROR(SMALL(AA$57:AA$71,Z58),"")</f>
        <v/>
      </c>
      <c r="AC58" s="25">
        <v>185678.67756960401</v>
      </c>
      <c r="AD58" s="18"/>
      <c r="AF58" s="1" t="s">
        <v>19</v>
      </c>
      <c r="AG58" s="22">
        <v>0.39668699378888461</v>
      </c>
      <c r="AH58" s="14">
        <v>0.33499408451269952</v>
      </c>
      <c r="AI58" s="22">
        <f>14.1673926353173*28/1000</f>
        <v>0.39668699378888445</v>
      </c>
      <c r="AJ58" s="20">
        <f>140.292089127694*28/1000</f>
        <v>3.9281784955754318</v>
      </c>
      <c r="AK58" s="73">
        <v>3.79</v>
      </c>
      <c r="AL58" s="19">
        <v>2</v>
      </c>
      <c r="AM58" s="19" t="str">
        <f>IF((AF58=O$22),AL58,"")</f>
        <v/>
      </c>
      <c r="AN58" s="19" t="str">
        <f t="shared" ref="AN58:AN60" si="31">IFERROR(SMALL(AM$57:AM$71,AL58),"")</f>
        <v/>
      </c>
      <c r="AO58" s="25">
        <v>185678.67756960401</v>
      </c>
      <c r="AR58" s="23" t="s">
        <v>19</v>
      </c>
      <c r="AS58" s="22">
        <v>0.39668699378888461</v>
      </c>
      <c r="AT58" s="14">
        <v>0.33499408451269952</v>
      </c>
      <c r="AU58" s="22">
        <f>14.1673926353173*28/1000</f>
        <v>0.39668699378888445</v>
      </c>
      <c r="AV58" s="20">
        <f>140.292089127694*28/1000</f>
        <v>3.9281784955754318</v>
      </c>
      <c r="AW58" s="73">
        <v>3.79</v>
      </c>
      <c r="AX58" s="19">
        <v>2</v>
      </c>
      <c r="AY58" s="19" t="str">
        <f>IF((AR58=O$32),AX58,"")</f>
        <v/>
      </c>
      <c r="AZ58" s="19" t="str">
        <f t="shared" ref="AZ58:AZ60" si="32">IFERROR(SMALL(AY$57:AY$71,AX58),"")</f>
        <v/>
      </c>
      <c r="BA58" s="25">
        <v>185678.67756960401</v>
      </c>
      <c r="BD58" s="23" t="s">
        <v>19</v>
      </c>
      <c r="BE58" s="22">
        <v>0.39668699378888461</v>
      </c>
      <c r="BF58" s="14">
        <v>0.33499408451269952</v>
      </c>
      <c r="BG58" s="22">
        <f>14.1673926353173*28/1000</f>
        <v>0.39668699378888445</v>
      </c>
      <c r="BH58" s="20">
        <f>140.292089127694*28/1000</f>
        <v>3.9281784955754318</v>
      </c>
      <c r="BI58" s="73">
        <v>3.79</v>
      </c>
      <c r="BJ58" s="19">
        <v>2</v>
      </c>
      <c r="BK58" s="19" t="str">
        <f>IF((BD58=O$42),BJ58,"")</f>
        <v/>
      </c>
      <c r="BL58" s="19" t="str">
        <f t="shared" ref="BL58:BL60" si="33">IFERROR(SMALL(BK$57:BK$71,BJ58),"")</f>
        <v/>
      </c>
      <c r="BM58" s="25">
        <v>185678.67756960401</v>
      </c>
    </row>
    <row r="59" spans="4:65" ht="13" customHeight="1">
      <c r="D59" s="57"/>
      <c r="E59" s="57"/>
      <c r="F59" s="57"/>
      <c r="G59" s="57"/>
      <c r="H59" s="57"/>
      <c r="I59" s="57"/>
      <c r="J59" s="57"/>
      <c r="K59" s="57"/>
      <c r="L59" s="57"/>
      <c r="T59" s="1" t="s">
        <v>21</v>
      </c>
      <c r="U59" s="37">
        <v>0.26766322235520212</v>
      </c>
      <c r="V59" s="19">
        <v>0.18021232579061666</v>
      </c>
      <c r="W59" s="23">
        <f>5.5380182509962*28/1000</f>
        <v>0.15506451102789359</v>
      </c>
      <c r="X59" s="28">
        <f>58.7044372035265*28/1000</f>
        <v>1.6437242416987421</v>
      </c>
      <c r="Y59" s="73">
        <v>1.96</v>
      </c>
      <c r="Z59" s="19">
        <v>3</v>
      </c>
      <c r="AA59" s="19" t="str">
        <f>IF((T59=O$12),Z59,"")</f>
        <v/>
      </c>
      <c r="AB59" s="19" t="str">
        <f t="shared" si="30"/>
        <v/>
      </c>
      <c r="AC59" s="25">
        <v>409418.64999999991</v>
      </c>
      <c r="AD59" s="18"/>
      <c r="AF59" s="1" t="s">
        <v>21</v>
      </c>
      <c r="AG59" s="37">
        <v>0.26766322235520212</v>
      </c>
      <c r="AH59" s="19">
        <v>0.18021232579061666</v>
      </c>
      <c r="AI59" s="23">
        <f>5.5380182509962*28/1000</f>
        <v>0.15506451102789359</v>
      </c>
      <c r="AJ59" s="28">
        <f>58.7044372035265*28/1000</f>
        <v>1.6437242416987421</v>
      </c>
      <c r="AK59" s="73">
        <v>1.96</v>
      </c>
      <c r="AL59" s="19">
        <v>3</v>
      </c>
      <c r="AM59" s="19" t="str">
        <f>IF((AF59=O$22),AL59,"")</f>
        <v/>
      </c>
      <c r="AN59" s="19" t="str">
        <f t="shared" si="31"/>
        <v/>
      </c>
      <c r="AO59" s="25">
        <v>409418.64999999991</v>
      </c>
      <c r="AR59" s="23" t="s">
        <v>21</v>
      </c>
      <c r="AS59" s="37">
        <v>0.26766322235520212</v>
      </c>
      <c r="AT59" s="19">
        <v>0.18021232579061666</v>
      </c>
      <c r="AU59" s="23">
        <f>5.5380182509962*28/1000</f>
        <v>0.15506451102789359</v>
      </c>
      <c r="AV59" s="28">
        <f>58.7044372035265*28/1000</f>
        <v>1.6437242416987421</v>
      </c>
      <c r="AW59" s="73">
        <v>1.96</v>
      </c>
      <c r="AX59" s="19">
        <v>3</v>
      </c>
      <c r="AY59" s="19">
        <f>IF((AR59=O$32),AX59,"")</f>
        <v>3</v>
      </c>
      <c r="AZ59" s="19" t="str">
        <f t="shared" si="32"/>
        <v/>
      </c>
      <c r="BA59" s="25">
        <v>409418.64999999991</v>
      </c>
      <c r="BD59" s="23" t="s">
        <v>21</v>
      </c>
      <c r="BE59" s="37">
        <v>0.26766322235520212</v>
      </c>
      <c r="BF59" s="19">
        <v>0.18021232579061666</v>
      </c>
      <c r="BG59" s="23">
        <f>5.5380182509962*28/1000</f>
        <v>0.15506451102789359</v>
      </c>
      <c r="BH59" s="28">
        <f>58.7044372035265*28/1000</f>
        <v>1.6437242416987421</v>
      </c>
      <c r="BI59" s="73">
        <v>1.96</v>
      </c>
      <c r="BJ59" s="19">
        <v>3</v>
      </c>
      <c r="BK59" s="19">
        <f>IF((BD59=O$42),BJ59,"")</f>
        <v>3</v>
      </c>
      <c r="BL59" s="19" t="str">
        <f t="shared" si="33"/>
        <v/>
      </c>
      <c r="BM59" s="25">
        <v>409418.64999999991</v>
      </c>
    </row>
    <row r="60" spans="4:65" ht="13" customHeight="1">
      <c r="D60" s="57"/>
      <c r="E60" s="57"/>
      <c r="F60" s="57"/>
      <c r="G60" s="57"/>
      <c r="H60" s="57"/>
      <c r="I60" s="57"/>
      <c r="J60" s="57"/>
      <c r="K60" s="57"/>
      <c r="L60" s="57"/>
      <c r="T60" s="19" t="s">
        <v>24</v>
      </c>
      <c r="U60" s="22">
        <v>1.1455503509307671E-2</v>
      </c>
      <c r="V60" s="19">
        <v>3.0732382644682369E-2</v>
      </c>
      <c r="W60" s="23">
        <f>0.409125125332417*28/1000</f>
        <v>1.1455503509307676E-2</v>
      </c>
      <c r="X60" s="29">
        <f>10.1429906244724*28/1000</f>
        <v>0.28400373748522717</v>
      </c>
      <c r="Y60" s="73">
        <v>0.28999999999999998</v>
      </c>
      <c r="Z60" s="19">
        <v>4</v>
      </c>
      <c r="AA60" s="19">
        <f>IF((T60=O$12),Z60,"")</f>
        <v>4</v>
      </c>
      <c r="AB60" s="19" t="str">
        <f t="shared" si="30"/>
        <v/>
      </c>
      <c r="AC60" s="25">
        <v>152413.16353827715</v>
      </c>
      <c r="AD60" s="18"/>
      <c r="AF60" s="19" t="s">
        <v>24</v>
      </c>
      <c r="AG60" s="22">
        <v>1.1455503509307671E-2</v>
      </c>
      <c r="AH60" s="19">
        <v>3.0732382644682369E-2</v>
      </c>
      <c r="AI60" s="23">
        <f>0.409125125332417*28/1000</f>
        <v>1.1455503509307676E-2</v>
      </c>
      <c r="AJ60" s="29">
        <f>10.1429906244724*28/1000</f>
        <v>0.28400373748522717</v>
      </c>
      <c r="AK60" s="73">
        <v>0.28999999999999998</v>
      </c>
      <c r="AL60" s="19">
        <v>4</v>
      </c>
      <c r="AM60" s="19">
        <f>IF((AF60=O$22),AL60,"")</f>
        <v>4</v>
      </c>
      <c r="AN60" s="19" t="str">
        <f t="shared" si="31"/>
        <v/>
      </c>
      <c r="AO60" s="25">
        <v>152413.16353827715</v>
      </c>
      <c r="AR60" s="19" t="s">
        <v>24</v>
      </c>
      <c r="AS60" s="22">
        <v>1.1455503509307671E-2</v>
      </c>
      <c r="AT60" s="19">
        <v>3.0732382644682369E-2</v>
      </c>
      <c r="AU60" s="23">
        <f>0.409125125332417*28/1000</f>
        <v>1.1455503509307676E-2</v>
      </c>
      <c r="AV60" s="29">
        <f>10.1429906244724*28/1000</f>
        <v>0.28400373748522717</v>
      </c>
      <c r="AW60" s="73">
        <v>0.28999999999999998</v>
      </c>
      <c r="AX60" s="19">
        <v>4</v>
      </c>
      <c r="AY60" s="19" t="str">
        <f>IF((AR60=O$32),AX60,"")</f>
        <v/>
      </c>
      <c r="AZ60" s="19" t="str">
        <f t="shared" si="32"/>
        <v/>
      </c>
      <c r="BA60" s="25">
        <v>152413.16353827715</v>
      </c>
      <c r="BD60" s="19" t="s">
        <v>24</v>
      </c>
      <c r="BE60" s="22">
        <v>1.1455503509307671E-2</v>
      </c>
      <c r="BF60" s="19">
        <v>3.0732382644682369E-2</v>
      </c>
      <c r="BG60" s="23">
        <f>0.409125125332417*28/1000</f>
        <v>1.1455503509307676E-2</v>
      </c>
      <c r="BH60" s="29">
        <f>10.1429906244724*28/1000</f>
        <v>0.28400373748522717</v>
      </c>
      <c r="BI60" s="73">
        <v>0.28999999999999998</v>
      </c>
      <c r="BJ60" s="19">
        <v>4</v>
      </c>
      <c r="BK60" s="19" t="str">
        <f>IF((BD60=O$42),BJ60,"")</f>
        <v/>
      </c>
      <c r="BL60" s="19" t="str">
        <f t="shared" si="33"/>
        <v/>
      </c>
      <c r="BM60" s="25">
        <v>152413.16353827715</v>
      </c>
    </row>
    <row r="61" spans="4:65" ht="13" customHeight="1">
      <c r="D61" s="57"/>
      <c r="E61" s="57"/>
      <c r="F61" s="57"/>
      <c r="G61" s="57"/>
      <c r="H61" s="57"/>
      <c r="I61" s="57"/>
      <c r="J61" s="57"/>
      <c r="K61" s="57"/>
      <c r="L61" s="57"/>
      <c r="T61" s="31" t="s">
        <v>27</v>
      </c>
      <c r="U61" s="31"/>
      <c r="V61" s="19"/>
      <c r="W61" s="19"/>
      <c r="X61" s="20"/>
      <c r="Z61" s="19"/>
      <c r="AA61" s="19"/>
      <c r="AB61" s="19"/>
      <c r="AD61" s="18"/>
      <c r="AF61" s="31" t="s">
        <v>27</v>
      </c>
      <c r="AG61" s="31"/>
      <c r="AH61" s="19"/>
      <c r="AI61" s="19"/>
      <c r="AJ61" s="20"/>
      <c r="AL61" s="19"/>
      <c r="AM61" s="19"/>
      <c r="AN61" s="19"/>
      <c r="AR61" s="31" t="s">
        <v>27</v>
      </c>
      <c r="AS61" s="31"/>
      <c r="AT61" s="19"/>
      <c r="AU61" s="19"/>
      <c r="AV61" s="20"/>
      <c r="AX61" s="19"/>
      <c r="AY61" s="19"/>
      <c r="AZ61" s="19"/>
      <c r="BD61" s="31" t="s">
        <v>27</v>
      </c>
      <c r="BE61" s="31"/>
      <c r="BF61" s="19"/>
      <c r="BG61" s="19"/>
      <c r="BH61" s="20"/>
      <c r="BJ61" s="19"/>
      <c r="BK61" s="19"/>
      <c r="BL61" s="19"/>
    </row>
    <row r="62" spans="4:65" ht="13" customHeight="1">
      <c r="D62" s="57"/>
      <c r="E62" s="57"/>
      <c r="F62" s="57"/>
      <c r="G62" s="57"/>
      <c r="H62" s="57"/>
      <c r="I62" s="57"/>
      <c r="J62" s="57"/>
      <c r="K62" s="57"/>
      <c r="L62" s="57"/>
      <c r="T62" s="38"/>
      <c r="U62" s="38"/>
      <c r="V62" s="19"/>
      <c r="W62" s="19"/>
      <c r="X62" s="20"/>
      <c r="Z62" s="19"/>
      <c r="AA62" s="19"/>
      <c r="AB62" s="19"/>
      <c r="AD62" s="18"/>
      <c r="AF62" s="38"/>
      <c r="AG62" s="38"/>
      <c r="AH62" s="19"/>
      <c r="AI62" s="19"/>
      <c r="AJ62" s="20"/>
      <c r="AL62" s="19"/>
      <c r="AM62" s="19"/>
      <c r="AN62" s="19"/>
      <c r="AR62" s="38"/>
      <c r="AS62" s="38"/>
      <c r="AT62" s="19"/>
      <c r="AU62" s="19"/>
      <c r="AV62" s="20"/>
      <c r="AX62" s="19"/>
      <c r="AY62" s="19"/>
      <c r="AZ62" s="19"/>
      <c r="BD62" s="38"/>
      <c r="BE62" s="38"/>
      <c r="BF62" s="19"/>
      <c r="BG62" s="19"/>
      <c r="BH62" s="20"/>
      <c r="BJ62" s="19"/>
      <c r="BK62" s="19"/>
      <c r="BL62" s="19"/>
    </row>
    <row r="63" spans="4:65" ht="13" customHeight="1">
      <c r="D63" s="57"/>
      <c r="E63" s="57"/>
      <c r="F63" s="57"/>
      <c r="G63" s="57"/>
      <c r="H63" s="57"/>
      <c r="I63" s="57"/>
      <c r="J63" s="57"/>
      <c r="K63" s="57"/>
      <c r="L63" s="57"/>
      <c r="T63" s="38"/>
      <c r="U63" s="38"/>
      <c r="V63" s="19"/>
      <c r="W63" s="19"/>
      <c r="X63" s="15"/>
      <c r="Z63" s="19"/>
      <c r="AA63" s="19"/>
      <c r="AB63" s="19"/>
      <c r="AD63" s="18"/>
      <c r="AF63" s="38"/>
      <c r="AG63" s="38"/>
      <c r="AH63" s="19"/>
      <c r="AI63" s="19"/>
      <c r="AJ63" s="15"/>
      <c r="AL63" s="19"/>
      <c r="AM63" s="19"/>
      <c r="AN63" s="19"/>
      <c r="AR63" s="38"/>
      <c r="AS63" s="38"/>
      <c r="AT63" s="19"/>
      <c r="AU63" s="19"/>
      <c r="AV63" s="15"/>
      <c r="AX63" s="19"/>
      <c r="AY63" s="19"/>
      <c r="AZ63" s="19"/>
      <c r="BD63" s="38"/>
      <c r="BE63" s="38"/>
      <c r="BF63" s="19"/>
      <c r="BG63" s="19"/>
      <c r="BH63" s="15"/>
      <c r="BJ63" s="19"/>
      <c r="BK63" s="19"/>
      <c r="BL63" s="19"/>
    </row>
    <row r="64" spans="4:65" ht="13" customHeight="1">
      <c r="D64" s="57"/>
      <c r="E64" s="57"/>
      <c r="F64" s="57"/>
      <c r="G64" s="57"/>
      <c r="H64" s="57"/>
      <c r="I64" s="57"/>
      <c r="J64" s="57"/>
      <c r="K64" s="57"/>
      <c r="L64" s="57"/>
      <c r="T64" s="38"/>
      <c r="U64" s="38"/>
      <c r="V64" s="19"/>
      <c r="W64" s="19"/>
      <c r="X64" s="15"/>
      <c r="Z64" s="19"/>
      <c r="AA64" s="19"/>
      <c r="AB64" s="19"/>
      <c r="AD64" s="18"/>
      <c r="AF64" s="38"/>
      <c r="AG64" s="38"/>
      <c r="AH64" s="19"/>
      <c r="AI64" s="19"/>
      <c r="AJ64" s="15"/>
      <c r="AL64" s="19"/>
      <c r="AM64" s="19"/>
      <c r="AN64" s="19"/>
      <c r="AR64" s="38"/>
      <c r="AS64" s="38"/>
      <c r="AT64" s="19"/>
      <c r="AU64" s="19"/>
      <c r="AV64" s="15"/>
      <c r="AX64" s="19"/>
      <c r="AY64" s="19"/>
      <c r="AZ64" s="19"/>
      <c r="BD64" s="38"/>
      <c r="BE64" s="38"/>
      <c r="BF64" s="19"/>
      <c r="BG64" s="19"/>
      <c r="BH64" s="15"/>
      <c r="BJ64" s="19"/>
      <c r="BK64" s="19"/>
      <c r="BL64" s="19"/>
    </row>
    <row r="65" spans="4:65" ht="13" customHeight="1">
      <c r="D65" s="57"/>
      <c r="E65" s="57"/>
      <c r="F65" s="57"/>
      <c r="G65" s="57"/>
      <c r="H65" s="57"/>
      <c r="I65" s="57"/>
      <c r="J65" s="57"/>
      <c r="K65" s="57"/>
      <c r="L65" s="57"/>
      <c r="T65" s="19"/>
      <c r="U65" s="19"/>
      <c r="Y65" s="72"/>
      <c r="Z65" s="19"/>
      <c r="AA65" s="19"/>
      <c r="AB65" s="19"/>
      <c r="AD65" s="18"/>
      <c r="AF65" s="19"/>
      <c r="AG65" s="19"/>
      <c r="AK65" s="72"/>
      <c r="AL65" s="19"/>
      <c r="AM65" s="19"/>
      <c r="AN65" s="19"/>
      <c r="AR65" s="19"/>
      <c r="AS65" s="19"/>
      <c r="AW65" s="72"/>
      <c r="AX65" s="19"/>
      <c r="AY65" s="19"/>
      <c r="AZ65" s="19"/>
      <c r="BD65" s="19"/>
      <c r="BE65" s="19"/>
      <c r="BI65" s="72"/>
      <c r="BJ65" s="19"/>
      <c r="BK65" s="19"/>
      <c r="BL65" s="19"/>
    </row>
    <row r="66" spans="4:65" ht="13" customHeight="1">
      <c r="D66" s="57"/>
      <c r="E66" s="57"/>
      <c r="F66" s="57"/>
      <c r="G66" s="57"/>
      <c r="H66" s="57"/>
      <c r="I66" s="57"/>
      <c r="J66" s="57"/>
      <c r="K66" s="57"/>
      <c r="L66" s="57"/>
      <c r="T66" s="19"/>
      <c r="U66" s="19"/>
      <c r="V66" s="19"/>
      <c r="W66" s="19"/>
      <c r="X66" s="20"/>
      <c r="Z66" s="19"/>
      <c r="AA66" s="19"/>
      <c r="AB66" s="19"/>
      <c r="AD66" s="18"/>
      <c r="AF66" s="19"/>
      <c r="AG66" s="19"/>
      <c r="AH66" s="19"/>
      <c r="AI66" s="19"/>
      <c r="AJ66" s="20"/>
      <c r="AL66" s="19"/>
      <c r="AM66" s="19"/>
      <c r="AN66" s="19"/>
      <c r="AR66" s="19"/>
      <c r="AS66" s="19"/>
      <c r="AT66" s="19"/>
      <c r="AU66" s="19"/>
      <c r="AV66" s="20"/>
      <c r="AX66" s="19"/>
      <c r="AY66" s="19"/>
      <c r="AZ66" s="19"/>
      <c r="BD66" s="19"/>
      <c r="BE66" s="19"/>
      <c r="BF66" s="19"/>
      <c r="BG66" s="19"/>
      <c r="BH66" s="20"/>
      <c r="BJ66" s="19"/>
      <c r="BK66" s="19"/>
      <c r="BL66" s="19"/>
    </row>
    <row r="67" spans="4:65" ht="13" customHeight="1">
      <c r="D67" s="57"/>
      <c r="E67" s="57"/>
      <c r="F67" s="57"/>
      <c r="G67" s="57"/>
      <c r="H67" s="57"/>
      <c r="I67" s="57"/>
      <c r="J67" s="57"/>
      <c r="K67" s="57"/>
      <c r="L67" s="57"/>
      <c r="T67" s="19"/>
      <c r="U67" s="19"/>
      <c r="V67" s="19"/>
      <c r="W67" s="19"/>
      <c r="X67" s="32"/>
      <c r="Z67" s="19"/>
      <c r="AA67" s="19"/>
      <c r="AB67" s="19"/>
      <c r="AD67" s="18"/>
      <c r="AF67" s="19"/>
      <c r="AG67" s="19"/>
      <c r="AH67" s="19"/>
      <c r="AI67" s="19"/>
      <c r="AJ67" s="32"/>
      <c r="AL67" s="19"/>
      <c r="AM67" s="19"/>
      <c r="AN67" s="19"/>
      <c r="AR67" s="19"/>
      <c r="AS67" s="19"/>
      <c r="AT67" s="19"/>
      <c r="AU67" s="19"/>
      <c r="AV67" s="32"/>
      <c r="AX67" s="19"/>
      <c r="AY67" s="19"/>
      <c r="AZ67" s="19"/>
      <c r="BD67" s="19"/>
      <c r="BE67" s="19"/>
      <c r="BF67" s="19"/>
      <c r="BG67" s="19"/>
      <c r="BH67" s="32"/>
      <c r="BJ67" s="19"/>
      <c r="BK67" s="19"/>
      <c r="BL67" s="19"/>
    </row>
    <row r="68" spans="4:65" ht="13" customHeight="1">
      <c r="D68" s="57"/>
      <c r="E68" s="57"/>
      <c r="F68" s="57"/>
      <c r="G68" s="57"/>
      <c r="H68" s="57"/>
      <c r="I68" s="57"/>
      <c r="J68" s="57"/>
      <c r="K68" s="57"/>
      <c r="L68" s="57"/>
      <c r="T68" s="19"/>
      <c r="U68" s="19"/>
      <c r="V68" s="19"/>
      <c r="W68" s="19"/>
      <c r="X68" s="15"/>
      <c r="Z68" s="19"/>
      <c r="AA68" s="19"/>
      <c r="AB68" s="19"/>
      <c r="AD68" s="18"/>
      <c r="AF68" s="19"/>
      <c r="AG68" s="19"/>
      <c r="AH68" s="19"/>
      <c r="AI68" s="19"/>
      <c r="AJ68" s="15"/>
      <c r="AL68" s="19"/>
      <c r="AM68" s="19"/>
      <c r="AN68" s="19"/>
      <c r="AR68" s="19"/>
      <c r="AS68" s="19"/>
      <c r="AT68" s="19"/>
      <c r="AU68" s="19"/>
      <c r="AV68" s="15"/>
      <c r="AX68" s="19"/>
      <c r="AY68" s="19"/>
      <c r="AZ68" s="19"/>
      <c r="BD68" s="19"/>
      <c r="BE68" s="19"/>
      <c r="BF68" s="19"/>
      <c r="BG68" s="19"/>
      <c r="BH68" s="15"/>
      <c r="BJ68" s="19"/>
      <c r="BK68" s="19"/>
      <c r="BL68" s="19"/>
    </row>
    <row r="69" spans="4:65" ht="13" customHeight="1">
      <c r="D69" s="57"/>
      <c r="E69" s="57"/>
      <c r="F69" s="57"/>
      <c r="G69" s="57"/>
      <c r="H69" s="57"/>
      <c r="I69" s="57"/>
      <c r="J69" s="57"/>
      <c r="K69" s="57"/>
      <c r="L69" s="57"/>
      <c r="T69" s="19"/>
      <c r="U69" s="19"/>
      <c r="X69" s="40"/>
      <c r="Z69" s="19"/>
      <c r="AA69" s="19"/>
      <c r="AB69" s="19"/>
      <c r="AD69" s="18"/>
      <c r="AF69" s="19"/>
      <c r="AG69" s="19"/>
      <c r="AJ69" s="40"/>
      <c r="AL69" s="19"/>
      <c r="AM69" s="19"/>
      <c r="AN69" s="19"/>
      <c r="AR69" s="19"/>
      <c r="AS69" s="19"/>
      <c r="AV69" s="40"/>
      <c r="AX69" s="19"/>
      <c r="AY69" s="19"/>
      <c r="AZ69" s="19"/>
      <c r="BD69" s="19"/>
      <c r="BE69" s="19"/>
      <c r="BH69" s="40"/>
      <c r="BJ69" s="19"/>
      <c r="BK69" s="19"/>
      <c r="BL69" s="19"/>
    </row>
    <row r="70" spans="4:65" ht="13" customHeight="1">
      <c r="D70" s="57"/>
      <c r="E70" s="57"/>
      <c r="F70" s="57"/>
      <c r="G70" s="57"/>
      <c r="H70" s="57"/>
      <c r="I70" s="57"/>
      <c r="J70" s="57"/>
      <c r="K70" s="57"/>
      <c r="L70" s="57"/>
    </row>
    <row r="71" spans="4:65" ht="13" customHeight="1">
      <c r="D71" s="57"/>
      <c r="E71" s="57"/>
      <c r="F71" s="57"/>
      <c r="G71" s="57"/>
      <c r="H71" s="57"/>
      <c r="I71" s="57"/>
      <c r="J71" s="57"/>
      <c r="K71" s="57"/>
      <c r="L71" s="57"/>
    </row>
    <row r="72" spans="4:65" ht="13" customHeight="1">
      <c r="D72" s="57"/>
      <c r="E72" s="57"/>
      <c r="F72" s="57"/>
      <c r="G72" s="57"/>
      <c r="H72" s="57"/>
      <c r="I72" s="57"/>
      <c r="J72" s="57"/>
      <c r="K72" s="57"/>
      <c r="L72" s="57"/>
      <c r="T72" s="19"/>
      <c r="U72" s="19"/>
      <c r="V72" s="19"/>
      <c r="W72" s="19"/>
      <c r="X72" s="20"/>
      <c r="Y72" s="19"/>
      <c r="Z72" s="19"/>
      <c r="AA72" s="19"/>
      <c r="AB72" s="19"/>
      <c r="AC72" s="18"/>
      <c r="AD72" s="18"/>
      <c r="AF72" s="19"/>
      <c r="AG72" s="19"/>
      <c r="AH72" s="19"/>
      <c r="AI72" s="19"/>
      <c r="AJ72" s="20"/>
      <c r="AK72" s="19"/>
      <c r="AL72" s="19"/>
      <c r="AM72" s="19"/>
      <c r="AN72" s="19"/>
      <c r="AO72" s="18"/>
      <c r="AR72" s="19"/>
      <c r="AS72" s="19"/>
      <c r="AT72" s="19"/>
      <c r="AU72" s="19"/>
      <c r="AV72" s="20"/>
      <c r="AW72" s="19"/>
      <c r="AX72" s="19"/>
      <c r="AY72" s="19"/>
      <c r="AZ72" s="19"/>
      <c r="BA72" s="18"/>
      <c r="BD72" s="19"/>
      <c r="BE72" s="19"/>
      <c r="BF72" s="19"/>
      <c r="BG72" s="19"/>
      <c r="BH72" s="20"/>
      <c r="BI72" s="19"/>
      <c r="BJ72" s="19"/>
      <c r="BK72" s="19"/>
      <c r="BL72" s="19"/>
      <c r="BM72" s="18"/>
    </row>
    <row r="73" spans="4:65" ht="13" customHeight="1">
      <c r="D73" s="57"/>
      <c r="E73" s="57"/>
      <c r="F73" s="57"/>
      <c r="G73" s="57"/>
      <c r="H73" s="57"/>
      <c r="I73" s="57"/>
      <c r="J73" s="57"/>
      <c r="K73" s="57"/>
      <c r="L73" s="57"/>
      <c r="T73" s="19"/>
      <c r="U73" s="19"/>
      <c r="V73" s="19"/>
      <c r="W73" s="19"/>
      <c r="X73" s="20"/>
      <c r="Y73" s="19"/>
      <c r="Z73" s="19"/>
      <c r="AA73" s="19"/>
      <c r="AB73" s="19"/>
      <c r="AC73" s="18"/>
      <c r="AD73" s="26"/>
      <c r="AF73" s="19"/>
      <c r="AG73" s="19"/>
      <c r="AH73" s="19"/>
      <c r="AI73" s="19"/>
      <c r="AJ73" s="20"/>
      <c r="AK73" s="19"/>
      <c r="AL73" s="19"/>
      <c r="AM73" s="19"/>
      <c r="AN73" s="19"/>
      <c r="AO73" s="18"/>
      <c r="AR73" s="19"/>
      <c r="AS73" s="19"/>
      <c r="AT73" s="19"/>
      <c r="AU73" s="19"/>
      <c r="AV73" s="20"/>
      <c r="AW73" s="19"/>
      <c r="AX73" s="19"/>
      <c r="AY73" s="19"/>
      <c r="AZ73" s="19"/>
      <c r="BA73" s="18"/>
      <c r="BD73" s="19"/>
      <c r="BE73" s="19"/>
      <c r="BF73" s="19"/>
      <c r="BG73" s="19"/>
      <c r="BH73" s="20"/>
      <c r="BI73" s="19"/>
      <c r="BJ73" s="19"/>
      <c r="BK73" s="19"/>
      <c r="BL73" s="19"/>
      <c r="BM73" s="18"/>
    </row>
    <row r="74" spans="4:65" ht="13" customHeight="1">
      <c r="D74" s="57"/>
      <c r="E74" s="57"/>
      <c r="F74" s="57"/>
      <c r="G74" s="57"/>
      <c r="H74" s="57"/>
      <c r="I74" s="57"/>
      <c r="J74" s="57"/>
      <c r="K74" s="57"/>
      <c r="L74" s="57"/>
      <c r="T74" s="19"/>
      <c r="U74" s="19"/>
      <c r="V74" s="19"/>
      <c r="W74" s="19"/>
      <c r="X74" s="20"/>
      <c r="Y74" s="19"/>
      <c r="Z74" s="19"/>
      <c r="AA74" s="19"/>
      <c r="AB74" s="19"/>
      <c r="AC74" s="18"/>
      <c r="AD74" s="26"/>
      <c r="AF74" s="19"/>
      <c r="AG74" s="19"/>
      <c r="AH74" s="19"/>
      <c r="AI74" s="19"/>
      <c r="AJ74" s="20"/>
      <c r="AK74" s="19"/>
      <c r="AL74" s="19"/>
      <c r="AM74" s="19"/>
      <c r="AN74" s="19"/>
      <c r="AO74" s="18"/>
      <c r="AR74" s="19"/>
      <c r="AS74" s="19"/>
      <c r="AT74" s="19"/>
      <c r="AU74" s="19"/>
      <c r="AV74" s="20"/>
      <c r="AW74" s="19"/>
      <c r="AX74" s="19"/>
      <c r="AY74" s="19"/>
      <c r="AZ74" s="19"/>
      <c r="BA74" s="18"/>
      <c r="BD74" s="19"/>
      <c r="BE74" s="19"/>
      <c r="BF74" s="19"/>
      <c r="BG74" s="19"/>
      <c r="BH74" s="20"/>
      <c r="BI74" s="19"/>
      <c r="BJ74" s="19"/>
      <c r="BK74" s="19"/>
      <c r="BL74" s="19"/>
      <c r="BM74" s="18"/>
    </row>
    <row r="75" spans="4:65" ht="13" customHeight="1">
      <c r="D75" s="57"/>
      <c r="E75" s="57"/>
      <c r="F75" s="57"/>
      <c r="G75" s="57"/>
      <c r="H75" s="57"/>
      <c r="I75" s="57"/>
      <c r="J75" s="57"/>
      <c r="K75" s="57"/>
      <c r="L75" s="57"/>
      <c r="T75" s="19"/>
      <c r="U75" s="19"/>
      <c r="V75" s="19"/>
      <c r="W75" s="19"/>
      <c r="X75" s="20"/>
      <c r="Y75" s="19"/>
      <c r="Z75" s="19"/>
      <c r="AA75" s="19"/>
      <c r="AB75" s="19"/>
      <c r="AC75" s="18"/>
      <c r="AD75" s="26"/>
      <c r="AF75" s="19"/>
      <c r="AG75" s="19"/>
      <c r="AH75" s="19"/>
      <c r="AI75" s="19"/>
      <c r="AJ75" s="20"/>
      <c r="AK75" s="19"/>
      <c r="AL75" s="19"/>
      <c r="AM75" s="19"/>
      <c r="AN75" s="19"/>
      <c r="AO75" s="18"/>
      <c r="AR75" s="19"/>
      <c r="AS75" s="19"/>
      <c r="AT75" s="19"/>
      <c r="AU75" s="19"/>
      <c r="AV75" s="20"/>
      <c r="AW75" s="19"/>
      <c r="AX75" s="19"/>
      <c r="AY75" s="19"/>
      <c r="AZ75" s="19"/>
      <c r="BA75" s="18"/>
      <c r="BD75" s="19"/>
      <c r="BE75" s="19"/>
      <c r="BF75" s="19"/>
      <c r="BG75" s="19"/>
      <c r="BH75" s="20"/>
      <c r="BI75" s="19"/>
      <c r="BJ75" s="19"/>
      <c r="BK75" s="19"/>
      <c r="BL75" s="19"/>
      <c r="BM75" s="18"/>
    </row>
    <row r="76" spans="4:65" ht="13" customHeight="1">
      <c r="D76" s="57"/>
      <c r="E76" s="57"/>
      <c r="F76" s="57"/>
      <c r="G76" s="57"/>
      <c r="H76" s="57"/>
      <c r="I76" s="57"/>
      <c r="J76" s="57"/>
      <c r="K76" s="57"/>
      <c r="L76" s="57"/>
      <c r="T76" s="19"/>
      <c r="U76" s="19"/>
      <c r="V76" s="19"/>
      <c r="W76" s="19"/>
      <c r="X76" s="20"/>
      <c r="Y76" s="19"/>
      <c r="Z76" s="19"/>
      <c r="AA76" s="19"/>
      <c r="AB76" s="19"/>
      <c r="AC76" s="18"/>
      <c r="AD76" s="26"/>
      <c r="AF76" s="19"/>
      <c r="AG76" s="19"/>
      <c r="AH76" s="19"/>
      <c r="AI76" s="19"/>
      <c r="AJ76" s="20"/>
      <c r="AK76" s="19"/>
      <c r="AL76" s="19"/>
      <c r="AM76" s="19"/>
      <c r="AN76" s="19"/>
      <c r="AO76" s="18"/>
      <c r="AR76" s="19"/>
      <c r="AS76" s="19"/>
      <c r="AT76" s="19"/>
      <c r="AU76" s="19"/>
      <c r="AV76" s="20"/>
      <c r="AW76" s="19"/>
      <c r="AX76" s="19"/>
      <c r="AY76" s="19"/>
      <c r="AZ76" s="19"/>
      <c r="BA76" s="18"/>
      <c r="BD76" s="19"/>
      <c r="BE76" s="19"/>
      <c r="BF76" s="19"/>
      <c r="BG76" s="19"/>
      <c r="BH76" s="20"/>
      <c r="BI76" s="19"/>
      <c r="BJ76" s="19"/>
      <c r="BK76" s="19"/>
      <c r="BL76" s="19"/>
      <c r="BM76" s="18"/>
    </row>
    <row r="77" spans="4:65" ht="13" customHeight="1">
      <c r="D77" s="57"/>
      <c r="E77" s="57"/>
      <c r="F77" s="57"/>
      <c r="G77" s="57"/>
      <c r="H77" s="57"/>
      <c r="I77" s="57"/>
      <c r="J77" s="57"/>
      <c r="K77" s="57"/>
      <c r="L77" s="57"/>
      <c r="T77" s="19"/>
      <c r="U77" s="19"/>
      <c r="V77" s="19"/>
      <c r="W77" s="19"/>
      <c r="X77" s="32"/>
      <c r="Y77" s="19"/>
      <c r="Z77" s="19"/>
      <c r="AA77" s="19"/>
      <c r="AB77" s="19"/>
      <c r="AC77" s="18"/>
      <c r="AD77" s="18"/>
      <c r="AF77" s="19"/>
      <c r="AG77" s="19"/>
      <c r="AH77" s="19"/>
      <c r="AI77" s="19"/>
      <c r="AJ77" s="32"/>
      <c r="AK77" s="19"/>
      <c r="AL77" s="19"/>
      <c r="AM77" s="19"/>
      <c r="AN77" s="19"/>
      <c r="AO77" s="18"/>
      <c r="AR77" s="19"/>
      <c r="AS77" s="19"/>
      <c r="AT77" s="19"/>
      <c r="AU77" s="19"/>
      <c r="AV77" s="32"/>
      <c r="AW77" s="19"/>
      <c r="AX77" s="19"/>
      <c r="AY77" s="19"/>
      <c r="AZ77" s="19"/>
      <c r="BA77" s="18"/>
      <c r="BD77" s="19"/>
      <c r="BE77" s="19"/>
      <c r="BF77" s="19"/>
      <c r="BG77" s="19"/>
      <c r="BH77" s="32"/>
      <c r="BI77" s="19"/>
      <c r="BJ77" s="19"/>
      <c r="BK77" s="19"/>
      <c r="BL77" s="19"/>
      <c r="BM77" s="18"/>
    </row>
    <row r="78" spans="4:65" ht="13" customHeight="1">
      <c r="D78" s="57"/>
      <c r="E78" s="57"/>
      <c r="F78" s="57"/>
      <c r="G78" s="57"/>
      <c r="H78" s="57"/>
      <c r="I78" s="57"/>
      <c r="J78" s="57"/>
      <c r="K78" s="57"/>
      <c r="L78" s="57"/>
      <c r="T78" s="19"/>
      <c r="U78" s="19"/>
      <c r="V78" s="19"/>
      <c r="W78" s="19"/>
      <c r="X78" s="15"/>
      <c r="Y78" s="19"/>
      <c r="Z78" s="19"/>
      <c r="AA78" s="19"/>
      <c r="AB78" s="19"/>
      <c r="AC78" s="18"/>
      <c r="AD78" s="18"/>
      <c r="AF78" s="19"/>
      <c r="AG78" s="19"/>
      <c r="AH78" s="19"/>
      <c r="AI78" s="19"/>
      <c r="AJ78" s="15"/>
      <c r="AK78" s="19"/>
      <c r="AL78" s="19"/>
      <c r="AM78" s="19"/>
      <c r="AN78" s="19"/>
      <c r="AO78" s="18"/>
      <c r="AR78" s="19"/>
      <c r="AS78" s="19"/>
      <c r="AT78" s="19"/>
      <c r="AU78" s="19"/>
      <c r="AV78" s="15"/>
      <c r="AW78" s="19"/>
      <c r="AX78" s="19"/>
      <c r="AY78" s="19"/>
      <c r="AZ78" s="19"/>
      <c r="BA78" s="18"/>
      <c r="BD78" s="19"/>
      <c r="BE78" s="19"/>
      <c r="BF78" s="19"/>
      <c r="BG78" s="19"/>
      <c r="BH78" s="15"/>
      <c r="BI78" s="19"/>
      <c r="BJ78" s="19"/>
      <c r="BK78" s="19"/>
      <c r="BL78" s="19"/>
      <c r="BM78" s="18"/>
    </row>
    <row r="79" spans="4:65" ht="13" customHeight="1">
      <c r="D79" s="57"/>
      <c r="E79" s="57"/>
      <c r="F79" s="57"/>
      <c r="G79" s="57"/>
      <c r="H79" s="57"/>
      <c r="I79" s="57"/>
      <c r="J79" s="57"/>
      <c r="K79" s="57"/>
      <c r="L79" s="57"/>
      <c r="T79" s="19"/>
      <c r="U79" s="19"/>
      <c r="V79" s="19"/>
      <c r="W79" s="19"/>
      <c r="Y79" s="19"/>
      <c r="Z79" s="19"/>
      <c r="AA79" s="19"/>
      <c r="AB79" s="19"/>
      <c r="AC79" s="18"/>
      <c r="AD79" s="18"/>
      <c r="AF79" s="19"/>
      <c r="AG79" s="19"/>
      <c r="AH79" s="19"/>
      <c r="AI79" s="19"/>
      <c r="AK79" s="19"/>
      <c r="AL79" s="19"/>
      <c r="AM79" s="19"/>
      <c r="AN79" s="19"/>
      <c r="AO79" s="18"/>
      <c r="AR79" s="19"/>
      <c r="AS79" s="19"/>
      <c r="AT79" s="19"/>
      <c r="AU79" s="19"/>
      <c r="AW79" s="19"/>
      <c r="AX79" s="19"/>
      <c r="AY79" s="19"/>
      <c r="AZ79" s="19"/>
      <c r="BA79" s="18"/>
      <c r="BD79" s="19"/>
      <c r="BE79" s="19"/>
      <c r="BF79" s="19"/>
      <c r="BG79" s="19"/>
      <c r="BI79" s="19"/>
      <c r="BJ79" s="19"/>
      <c r="BK79" s="19"/>
      <c r="BL79" s="19"/>
      <c r="BM79" s="18"/>
    </row>
    <row r="80" spans="4:65" ht="13" customHeight="1">
      <c r="D80" s="57"/>
      <c r="E80" s="57"/>
      <c r="F80" s="57"/>
      <c r="G80" s="57"/>
      <c r="H80" s="57"/>
      <c r="I80" s="57"/>
      <c r="J80" s="57"/>
      <c r="K80" s="57"/>
      <c r="L80" s="57"/>
      <c r="T80" s="19"/>
      <c r="U80" s="19"/>
      <c r="V80" s="19"/>
      <c r="W80" s="19"/>
      <c r="X80" s="20"/>
      <c r="Y80" s="19"/>
      <c r="Z80" s="19"/>
      <c r="AA80" s="19"/>
      <c r="AB80" s="19"/>
      <c r="AC80" s="18"/>
      <c r="AD80" s="18"/>
      <c r="AF80" s="19"/>
      <c r="AG80" s="19"/>
      <c r="AH80" s="19"/>
      <c r="AI80" s="19"/>
      <c r="AJ80" s="20"/>
      <c r="AK80" s="19"/>
      <c r="AL80" s="19"/>
      <c r="AM80" s="19"/>
      <c r="AN80" s="19"/>
      <c r="AO80" s="18"/>
      <c r="AR80" s="19"/>
      <c r="AS80" s="19"/>
      <c r="AT80" s="19"/>
      <c r="AU80" s="19"/>
      <c r="AV80" s="20"/>
      <c r="AW80" s="19"/>
      <c r="AX80" s="19"/>
      <c r="AY80" s="19"/>
      <c r="AZ80" s="19"/>
      <c r="BA80" s="18"/>
      <c r="BD80" s="19"/>
      <c r="BE80" s="19"/>
      <c r="BF80" s="19"/>
      <c r="BG80" s="19"/>
      <c r="BH80" s="20"/>
      <c r="BI80" s="19"/>
      <c r="BJ80" s="19"/>
      <c r="BK80" s="19"/>
      <c r="BL80" s="19"/>
      <c r="BM80" s="18"/>
    </row>
    <row r="81" spans="4:65" ht="13" customHeight="1">
      <c r="D81" s="57"/>
      <c r="E81" s="57"/>
      <c r="F81" s="57"/>
      <c r="G81" s="57"/>
      <c r="H81" s="57"/>
      <c r="I81" s="57"/>
      <c r="J81" s="57"/>
      <c r="K81" s="57"/>
      <c r="L81" s="57"/>
      <c r="T81" s="19"/>
      <c r="U81" s="19"/>
      <c r="V81" s="19"/>
      <c r="W81" s="19"/>
      <c r="X81" s="15"/>
      <c r="Y81" s="19"/>
      <c r="Z81" s="19"/>
      <c r="AA81" s="19"/>
      <c r="AB81" s="19"/>
      <c r="AC81" s="18"/>
      <c r="AD81" s="18"/>
      <c r="AF81" s="19"/>
      <c r="AG81" s="19"/>
      <c r="AH81" s="19"/>
      <c r="AI81" s="19"/>
      <c r="AJ81" s="15"/>
      <c r="AK81" s="19"/>
      <c r="AL81" s="19"/>
      <c r="AM81" s="19"/>
      <c r="AN81" s="19"/>
      <c r="AO81" s="18"/>
      <c r="AR81" s="19"/>
      <c r="AS81" s="19"/>
      <c r="AT81" s="19"/>
      <c r="AU81" s="19"/>
      <c r="AV81" s="15"/>
      <c r="AW81" s="19"/>
      <c r="AX81" s="19"/>
      <c r="AY81" s="19"/>
      <c r="AZ81" s="19"/>
      <c r="BA81" s="18"/>
      <c r="BD81" s="19"/>
      <c r="BE81" s="19"/>
      <c r="BF81" s="19"/>
      <c r="BG81" s="19"/>
      <c r="BH81" s="15"/>
      <c r="BI81" s="19"/>
      <c r="BJ81" s="19"/>
      <c r="BK81" s="19"/>
      <c r="BL81" s="19"/>
      <c r="BM81" s="18"/>
    </row>
    <row r="82" spans="4:65" ht="13" customHeight="1">
      <c r="D82" s="57"/>
      <c r="E82" s="57"/>
      <c r="F82" s="57"/>
      <c r="G82" s="57"/>
      <c r="H82" s="57"/>
      <c r="I82" s="57"/>
      <c r="J82" s="57"/>
      <c r="K82" s="57"/>
      <c r="L82" s="57"/>
      <c r="T82" s="19"/>
      <c r="U82" s="19"/>
      <c r="V82" s="19"/>
      <c r="W82" s="19"/>
      <c r="X82" s="15"/>
      <c r="Y82" s="19"/>
      <c r="Z82" s="19"/>
      <c r="AA82" s="19"/>
      <c r="AB82" s="19"/>
      <c r="AC82" s="18"/>
      <c r="AD82" s="18"/>
      <c r="AF82" s="19"/>
      <c r="AG82" s="19"/>
      <c r="AH82" s="19"/>
      <c r="AI82" s="19"/>
      <c r="AJ82" s="15"/>
      <c r="AK82" s="19"/>
      <c r="AL82" s="19"/>
      <c r="AM82" s="19"/>
      <c r="AN82" s="19"/>
      <c r="AO82" s="18"/>
      <c r="AR82" s="19"/>
      <c r="AS82" s="19"/>
      <c r="AT82" s="19"/>
      <c r="AU82" s="19"/>
      <c r="AV82" s="15"/>
      <c r="AW82" s="19"/>
      <c r="AX82" s="19"/>
      <c r="AY82" s="19"/>
      <c r="AZ82" s="19"/>
      <c r="BA82" s="18"/>
      <c r="BD82" s="19"/>
      <c r="BE82" s="19"/>
      <c r="BF82" s="19"/>
      <c r="BG82" s="19"/>
      <c r="BH82" s="15"/>
      <c r="BI82" s="19"/>
      <c r="BJ82" s="19"/>
      <c r="BK82" s="19"/>
      <c r="BL82" s="19"/>
      <c r="BM82" s="18"/>
    </row>
    <row r="83" spans="4:65" ht="13" customHeight="1">
      <c r="T83" s="19"/>
      <c r="U83" s="19"/>
      <c r="V83" s="19"/>
      <c r="W83" s="19"/>
      <c r="Y83" s="19"/>
      <c r="Z83" s="19"/>
      <c r="AA83" s="19"/>
      <c r="AB83" s="19"/>
      <c r="AC83" s="18"/>
      <c r="AD83" s="18"/>
      <c r="AF83" s="19"/>
      <c r="AG83" s="19"/>
      <c r="AH83" s="19"/>
      <c r="AI83" s="19"/>
      <c r="AK83" s="19"/>
      <c r="AL83" s="19"/>
      <c r="AM83" s="19"/>
      <c r="AN83" s="19"/>
      <c r="AO83" s="18"/>
      <c r="AR83" s="19"/>
      <c r="AS83" s="19"/>
      <c r="AT83" s="19"/>
      <c r="AU83" s="19"/>
      <c r="AW83" s="19"/>
      <c r="AX83" s="19"/>
      <c r="AY83" s="19"/>
      <c r="AZ83" s="19"/>
      <c r="BA83" s="18"/>
      <c r="BD83" s="19"/>
      <c r="BE83" s="19"/>
      <c r="BF83" s="19"/>
      <c r="BG83" s="19"/>
      <c r="BI83" s="19"/>
      <c r="BJ83" s="19"/>
      <c r="BK83" s="19"/>
      <c r="BL83" s="19"/>
      <c r="BM83" s="18"/>
    </row>
    <row r="84" spans="4:65" ht="13" customHeight="1">
      <c r="T84" s="19"/>
      <c r="U84" s="19"/>
      <c r="V84" s="19"/>
      <c r="W84" s="19"/>
      <c r="X84" s="20"/>
      <c r="Y84" s="19"/>
      <c r="Z84" s="19"/>
      <c r="AA84" s="19"/>
      <c r="AB84" s="19"/>
      <c r="AC84" s="18"/>
      <c r="AD84" s="18"/>
      <c r="AF84" s="19"/>
      <c r="AG84" s="19"/>
      <c r="AH84" s="19"/>
      <c r="AI84" s="19"/>
      <c r="AJ84" s="20"/>
      <c r="AK84" s="19"/>
      <c r="AL84" s="19"/>
      <c r="AM84" s="19"/>
      <c r="AN84" s="19"/>
      <c r="AO84" s="18"/>
      <c r="AR84" s="19"/>
      <c r="AS84" s="19"/>
      <c r="AT84" s="19"/>
      <c r="AU84" s="19"/>
      <c r="AV84" s="20"/>
      <c r="AW84" s="19"/>
      <c r="AX84" s="19"/>
      <c r="AY84" s="19"/>
      <c r="AZ84" s="19"/>
      <c r="BA84" s="18"/>
      <c r="BD84" s="19"/>
      <c r="BE84" s="19"/>
      <c r="BF84" s="19"/>
      <c r="BG84" s="19"/>
      <c r="BH84" s="20"/>
      <c r="BI84" s="19"/>
      <c r="BJ84" s="19"/>
      <c r="BK84" s="19"/>
      <c r="BL84" s="19"/>
      <c r="BM84" s="18"/>
    </row>
    <row r="85" spans="4:65" ht="13" customHeight="1">
      <c r="T85" s="19"/>
      <c r="U85" s="19"/>
      <c r="V85" s="19"/>
      <c r="W85" s="19"/>
      <c r="X85" s="15"/>
      <c r="Y85" s="19"/>
      <c r="Z85" s="19"/>
      <c r="AA85" s="19"/>
      <c r="AB85" s="19"/>
      <c r="AC85" s="18"/>
      <c r="AD85" s="18"/>
      <c r="AF85" s="19"/>
      <c r="AG85" s="19"/>
      <c r="AH85" s="19"/>
      <c r="AI85" s="19"/>
      <c r="AJ85" s="15"/>
      <c r="AK85" s="19"/>
      <c r="AL85" s="19"/>
      <c r="AM85" s="19"/>
      <c r="AN85" s="19"/>
      <c r="AO85" s="18"/>
      <c r="AR85" s="19"/>
      <c r="AS85" s="19"/>
      <c r="AT85" s="19"/>
      <c r="AU85" s="19"/>
      <c r="AV85" s="15"/>
      <c r="AW85" s="19"/>
      <c r="AX85" s="19"/>
      <c r="AY85" s="19"/>
      <c r="AZ85" s="19"/>
      <c r="BA85" s="18"/>
      <c r="BD85" s="19"/>
      <c r="BE85" s="19"/>
      <c r="BF85" s="19"/>
      <c r="BG85" s="19"/>
      <c r="BH85" s="15"/>
      <c r="BI85" s="19"/>
      <c r="BJ85" s="19"/>
      <c r="BK85" s="19"/>
      <c r="BL85" s="19"/>
      <c r="BM85" s="18"/>
    </row>
    <row r="86" spans="4:65" ht="13" customHeight="1">
      <c r="T86" s="19"/>
      <c r="U86" s="19"/>
      <c r="V86" s="19"/>
      <c r="W86" s="19"/>
      <c r="X86" s="15"/>
      <c r="Y86" s="19"/>
      <c r="Z86" s="19"/>
      <c r="AA86" s="19"/>
      <c r="AB86" s="19"/>
      <c r="AC86" s="18"/>
      <c r="AD86" s="18"/>
      <c r="AF86" s="19"/>
      <c r="AG86" s="19"/>
      <c r="AH86" s="19"/>
      <c r="AI86" s="19"/>
      <c r="AJ86" s="15"/>
      <c r="AK86" s="19"/>
      <c r="AL86" s="19"/>
      <c r="AM86" s="19"/>
      <c r="AN86" s="19"/>
      <c r="AO86" s="18"/>
      <c r="AR86" s="19"/>
      <c r="AS86" s="19"/>
      <c r="AT86" s="19"/>
      <c r="AU86" s="19"/>
      <c r="AV86" s="15"/>
      <c r="AW86" s="19"/>
      <c r="AX86" s="19"/>
      <c r="AY86" s="19"/>
      <c r="AZ86" s="19"/>
      <c r="BA86" s="18"/>
      <c r="BD86" s="19"/>
      <c r="BE86" s="19"/>
      <c r="BF86" s="19"/>
      <c r="BG86" s="19"/>
      <c r="BH86" s="15"/>
      <c r="BI86" s="19"/>
      <c r="BJ86" s="19"/>
      <c r="BK86" s="19"/>
      <c r="BL86" s="19"/>
      <c r="BM86" s="18"/>
    </row>
    <row r="87" spans="4:65" ht="13" customHeight="1">
      <c r="T87" s="19"/>
      <c r="U87" s="19"/>
      <c r="V87" s="19"/>
      <c r="W87" s="19"/>
      <c r="Y87" s="19"/>
      <c r="Z87" s="19"/>
      <c r="AA87" s="19"/>
      <c r="AB87" s="19"/>
      <c r="AC87" s="18"/>
      <c r="AD87" s="18"/>
      <c r="AF87" s="19"/>
      <c r="AG87" s="19"/>
      <c r="AH87" s="19"/>
      <c r="AI87" s="19"/>
      <c r="AK87" s="19"/>
      <c r="AL87" s="19"/>
      <c r="AM87" s="19"/>
      <c r="AN87" s="19"/>
      <c r="AO87" s="18"/>
      <c r="AR87" s="19"/>
      <c r="AS87" s="19"/>
      <c r="AT87" s="19"/>
      <c r="AU87" s="19"/>
      <c r="AW87" s="19"/>
      <c r="AX87" s="19"/>
      <c r="AY87" s="19"/>
      <c r="AZ87" s="19"/>
      <c r="BA87" s="18"/>
      <c r="BD87" s="19"/>
      <c r="BE87" s="19"/>
      <c r="BF87" s="19"/>
      <c r="BG87" s="19"/>
      <c r="BI87" s="19"/>
      <c r="BJ87" s="19"/>
      <c r="BK87" s="19"/>
      <c r="BL87" s="19"/>
      <c r="BM87" s="18"/>
    </row>
    <row r="88" spans="4:65" ht="13" customHeight="1">
      <c r="T88" s="19"/>
      <c r="U88" s="19"/>
      <c r="V88" s="19"/>
      <c r="W88" s="19"/>
      <c r="X88" s="20"/>
      <c r="Y88" s="19"/>
      <c r="Z88" s="19"/>
      <c r="AA88" s="19"/>
      <c r="AB88" s="19"/>
      <c r="AC88" s="18"/>
      <c r="AD88" s="18"/>
      <c r="AF88" s="19"/>
      <c r="AG88" s="19"/>
      <c r="AH88" s="19"/>
      <c r="AI88" s="19"/>
      <c r="AJ88" s="20"/>
      <c r="AK88" s="19"/>
      <c r="AL88" s="19"/>
      <c r="AM88" s="19"/>
      <c r="AN88" s="19"/>
      <c r="AO88" s="18"/>
      <c r="AR88" s="19"/>
      <c r="AS88" s="19"/>
      <c r="AT88" s="19"/>
      <c r="AU88" s="19"/>
      <c r="AV88" s="20"/>
      <c r="AW88" s="19"/>
      <c r="AX88" s="19"/>
      <c r="AY88" s="19"/>
      <c r="AZ88" s="19"/>
      <c r="BA88" s="18"/>
      <c r="BD88" s="19"/>
      <c r="BE88" s="19"/>
      <c r="BF88" s="19"/>
      <c r="BG88" s="19"/>
      <c r="BH88" s="20"/>
      <c r="BI88" s="19"/>
      <c r="BJ88" s="19"/>
      <c r="BK88" s="19"/>
      <c r="BL88" s="19"/>
      <c r="BM88" s="18"/>
    </row>
    <row r="89" spans="4:65" ht="13" customHeight="1">
      <c r="T89" s="19"/>
      <c r="U89" s="19"/>
      <c r="V89" s="19"/>
      <c r="W89" s="19"/>
      <c r="X89" s="20"/>
      <c r="Y89" s="19"/>
      <c r="Z89" s="19"/>
      <c r="AA89" s="19"/>
      <c r="AB89" s="19"/>
      <c r="AC89" s="18"/>
      <c r="AD89" s="18"/>
      <c r="AF89" s="19"/>
      <c r="AG89" s="19"/>
      <c r="AH89" s="19"/>
      <c r="AI89" s="19"/>
      <c r="AJ89" s="20"/>
      <c r="AK89" s="19"/>
      <c r="AL89" s="19"/>
      <c r="AM89" s="19"/>
      <c r="AN89" s="19"/>
      <c r="AO89" s="18"/>
      <c r="AR89" s="19"/>
      <c r="AS89" s="19"/>
      <c r="AT89" s="19"/>
      <c r="AU89" s="19"/>
      <c r="AV89" s="20"/>
      <c r="AW89" s="19"/>
      <c r="AX89" s="19"/>
      <c r="AY89" s="19"/>
      <c r="AZ89" s="19"/>
      <c r="BA89" s="18"/>
      <c r="BD89" s="19"/>
      <c r="BE89" s="19"/>
      <c r="BF89" s="19"/>
      <c r="BG89" s="19"/>
      <c r="BH89" s="20"/>
      <c r="BI89" s="19"/>
      <c r="BJ89" s="19"/>
      <c r="BK89" s="19"/>
      <c r="BL89" s="19"/>
      <c r="BM89" s="18"/>
    </row>
    <row r="90" spans="4:65" ht="13" customHeight="1">
      <c r="T90" s="19"/>
      <c r="U90" s="19"/>
      <c r="V90" s="19"/>
      <c r="W90" s="19"/>
      <c r="X90" s="20"/>
      <c r="Y90" s="19"/>
      <c r="Z90" s="19"/>
      <c r="AA90" s="19"/>
      <c r="AB90" s="19"/>
      <c r="AC90" s="18"/>
      <c r="AD90" s="18"/>
      <c r="AF90" s="19"/>
      <c r="AG90" s="19"/>
      <c r="AH90" s="19"/>
      <c r="AI90" s="19"/>
      <c r="AJ90" s="20"/>
      <c r="AK90" s="19"/>
      <c r="AL90" s="19"/>
      <c r="AM90" s="19"/>
      <c r="AN90" s="19"/>
      <c r="AO90" s="18"/>
      <c r="AR90" s="19"/>
      <c r="AS90" s="19"/>
      <c r="AT90" s="19"/>
      <c r="AU90" s="19"/>
      <c r="AV90" s="20"/>
      <c r="AW90" s="19"/>
      <c r="AX90" s="19"/>
      <c r="AY90" s="19"/>
      <c r="AZ90" s="19"/>
      <c r="BA90" s="18"/>
      <c r="BD90" s="19"/>
      <c r="BE90" s="19"/>
      <c r="BF90" s="19"/>
      <c r="BG90" s="19"/>
      <c r="BH90" s="20"/>
      <c r="BI90" s="19"/>
      <c r="BJ90" s="19"/>
      <c r="BK90" s="19"/>
      <c r="BL90" s="19"/>
      <c r="BM90" s="18"/>
    </row>
    <row r="91" spans="4:65" ht="13" customHeight="1">
      <c r="T91" s="19"/>
      <c r="U91" s="19"/>
      <c r="V91" s="19"/>
      <c r="W91" s="19"/>
      <c r="X91" s="15"/>
      <c r="Y91" s="19"/>
      <c r="Z91" s="19"/>
      <c r="AA91" s="19"/>
      <c r="AB91" s="19"/>
      <c r="AC91" s="18"/>
      <c r="AD91" s="18"/>
      <c r="AF91" s="19"/>
      <c r="AG91" s="19"/>
      <c r="AH91" s="19"/>
      <c r="AI91" s="19"/>
      <c r="AJ91" s="15"/>
      <c r="AK91" s="19"/>
      <c r="AL91" s="19"/>
      <c r="AM91" s="19"/>
      <c r="AN91" s="19"/>
      <c r="AO91" s="18"/>
      <c r="AR91" s="19"/>
      <c r="AS91" s="19"/>
      <c r="AT91" s="19"/>
      <c r="AU91" s="19"/>
      <c r="AV91" s="15"/>
      <c r="AW91" s="19"/>
      <c r="AX91" s="19"/>
      <c r="AY91" s="19"/>
      <c r="AZ91" s="19"/>
      <c r="BA91" s="18"/>
      <c r="BD91" s="19"/>
      <c r="BE91" s="19"/>
      <c r="BF91" s="19"/>
      <c r="BG91" s="19"/>
      <c r="BH91" s="15"/>
      <c r="BI91" s="19"/>
      <c r="BJ91" s="19"/>
      <c r="BK91" s="19"/>
      <c r="BL91" s="19"/>
      <c r="BM91" s="18"/>
    </row>
    <row r="92" spans="4:65" ht="13" customHeight="1">
      <c r="T92" s="19"/>
      <c r="U92" s="19"/>
      <c r="V92" s="19"/>
      <c r="W92" s="19"/>
      <c r="X92" s="15"/>
      <c r="Y92" s="19"/>
      <c r="Z92" s="19"/>
      <c r="AA92" s="19"/>
      <c r="AB92" s="19"/>
      <c r="AF92" s="19"/>
      <c r="AG92" s="19"/>
      <c r="AH92" s="19"/>
      <c r="AI92" s="19"/>
      <c r="AJ92" s="15"/>
      <c r="AK92" s="19"/>
      <c r="AL92" s="19"/>
      <c r="AM92" s="19"/>
      <c r="AN92" s="19"/>
      <c r="AR92" s="19"/>
      <c r="AS92" s="19"/>
      <c r="AT92" s="19"/>
      <c r="AU92" s="19"/>
      <c r="AV92" s="15"/>
      <c r="AW92" s="19"/>
      <c r="AX92" s="19"/>
      <c r="AY92" s="19"/>
      <c r="AZ92" s="19"/>
      <c r="BD92" s="19"/>
      <c r="BE92" s="19"/>
      <c r="BF92" s="19"/>
      <c r="BG92" s="19"/>
      <c r="BH92" s="15"/>
      <c r="BI92" s="19"/>
      <c r="BJ92" s="19"/>
      <c r="BK92" s="19"/>
      <c r="BL92" s="19"/>
    </row>
    <row r="93" spans="4:65" ht="13" customHeight="1">
      <c r="T93" s="19"/>
      <c r="U93" s="19"/>
      <c r="Y93" s="19"/>
      <c r="Z93" s="19"/>
      <c r="AA93" s="19"/>
      <c r="AB93" s="19"/>
      <c r="AF93" s="19"/>
      <c r="AG93" s="19"/>
      <c r="AK93" s="19"/>
      <c r="AL93" s="19"/>
      <c r="AM93" s="19"/>
      <c r="AN93" s="19"/>
      <c r="AR93" s="19"/>
      <c r="AS93" s="19"/>
      <c r="AW93" s="19"/>
      <c r="AX93" s="19"/>
      <c r="AY93" s="19"/>
      <c r="AZ93" s="19"/>
      <c r="BD93" s="19"/>
      <c r="BE93" s="19"/>
      <c r="BI93" s="19"/>
      <c r="BJ93" s="19"/>
      <c r="BK93" s="19"/>
      <c r="BL93" s="19"/>
    </row>
    <row r="94" spans="4:65" ht="13" customHeight="1">
      <c r="T94" s="19"/>
      <c r="U94" s="19"/>
      <c r="V94" s="19"/>
      <c r="W94" s="19"/>
      <c r="X94" s="20"/>
      <c r="Y94" s="19"/>
      <c r="Z94" s="19"/>
      <c r="AA94" s="19"/>
      <c r="AB94" s="19"/>
      <c r="AF94" s="19"/>
      <c r="AG94" s="19"/>
      <c r="AH94" s="19"/>
      <c r="AI94" s="19"/>
      <c r="AJ94" s="20"/>
      <c r="AK94" s="19"/>
      <c r="AL94" s="19"/>
      <c r="AM94" s="19"/>
      <c r="AN94" s="19"/>
      <c r="AR94" s="19"/>
      <c r="AS94" s="19"/>
      <c r="AT94" s="19"/>
      <c r="AU94" s="19"/>
      <c r="AV94" s="20"/>
      <c r="AW94" s="19"/>
      <c r="AX94" s="19"/>
      <c r="AY94" s="19"/>
      <c r="AZ94" s="19"/>
      <c r="BD94" s="19"/>
      <c r="BE94" s="19"/>
      <c r="BF94" s="19"/>
      <c r="BG94" s="19"/>
      <c r="BH94" s="20"/>
      <c r="BI94" s="19"/>
      <c r="BJ94" s="19"/>
      <c r="BK94" s="19"/>
      <c r="BL94" s="19"/>
    </row>
    <row r="95" spans="4:65" ht="13" customHeight="1">
      <c r="T95" s="19"/>
      <c r="U95" s="19"/>
      <c r="V95" s="19"/>
      <c r="W95" s="19"/>
      <c r="X95" s="20"/>
      <c r="Y95" s="19"/>
      <c r="Z95" s="19"/>
      <c r="AA95" s="19"/>
      <c r="AB95" s="19"/>
      <c r="AF95" s="19"/>
      <c r="AG95" s="19"/>
      <c r="AH95" s="19"/>
      <c r="AI95" s="19"/>
      <c r="AJ95" s="20"/>
      <c r="AK95" s="19"/>
      <c r="AL95" s="19"/>
      <c r="AM95" s="19"/>
      <c r="AN95" s="19"/>
      <c r="AR95" s="19"/>
      <c r="AS95" s="19"/>
      <c r="AT95" s="19"/>
      <c r="AU95" s="19"/>
      <c r="AV95" s="20"/>
      <c r="AW95" s="19"/>
      <c r="AX95" s="19"/>
      <c r="AY95" s="19"/>
      <c r="AZ95" s="19"/>
      <c r="BD95" s="19"/>
      <c r="BE95" s="19"/>
      <c r="BF95" s="19"/>
      <c r="BG95" s="19"/>
      <c r="BH95" s="20"/>
      <c r="BI95" s="19"/>
      <c r="BJ95" s="19"/>
      <c r="BK95" s="19"/>
      <c r="BL95" s="19"/>
    </row>
    <row r="96" spans="4:65" ht="13" customHeight="1">
      <c r="T96" s="38"/>
      <c r="U96" s="38"/>
      <c r="V96" s="19"/>
      <c r="W96" s="19"/>
      <c r="X96" s="20"/>
      <c r="Z96" s="19"/>
      <c r="AA96" s="19"/>
      <c r="AB96" s="19"/>
      <c r="AF96" s="38"/>
      <c r="AG96" s="38"/>
      <c r="AH96" s="19"/>
      <c r="AI96" s="19"/>
      <c r="AJ96" s="20"/>
      <c r="AL96" s="19"/>
      <c r="AM96" s="19"/>
      <c r="AN96" s="19"/>
      <c r="AR96" s="38"/>
      <c r="AS96" s="38"/>
      <c r="AT96" s="19"/>
      <c r="AU96" s="19"/>
      <c r="AV96" s="20"/>
      <c r="AX96" s="19"/>
      <c r="AY96" s="19"/>
      <c r="AZ96" s="19"/>
      <c r="BD96" s="38"/>
      <c r="BE96" s="38"/>
      <c r="BF96" s="19"/>
      <c r="BG96" s="19"/>
      <c r="BH96" s="20"/>
      <c r="BJ96" s="19"/>
      <c r="BK96" s="19"/>
      <c r="BL96" s="19"/>
    </row>
    <row r="97" spans="20:64" ht="13" customHeight="1">
      <c r="T97" s="38"/>
      <c r="U97" s="38"/>
      <c r="V97" s="19"/>
      <c r="W97" s="19"/>
      <c r="X97" s="15"/>
      <c r="Z97" s="19"/>
      <c r="AA97" s="19"/>
      <c r="AB97" s="19"/>
      <c r="AF97" s="38"/>
      <c r="AG97" s="38"/>
      <c r="AH97" s="19"/>
      <c r="AI97" s="19"/>
      <c r="AJ97" s="15"/>
      <c r="AL97" s="19"/>
      <c r="AM97" s="19"/>
      <c r="AN97" s="19"/>
      <c r="AR97" s="38"/>
      <c r="AS97" s="38"/>
      <c r="AT97" s="19"/>
      <c r="AU97" s="19"/>
      <c r="AV97" s="15"/>
      <c r="AX97" s="19"/>
      <c r="AY97" s="19"/>
      <c r="AZ97" s="19"/>
      <c r="BD97" s="38"/>
      <c r="BE97" s="38"/>
      <c r="BF97" s="19"/>
      <c r="BG97" s="19"/>
      <c r="BH97" s="15"/>
      <c r="BJ97" s="19"/>
      <c r="BK97" s="19"/>
      <c r="BL97" s="19"/>
    </row>
    <row r="98" spans="20:64" ht="13" customHeight="1">
      <c r="T98" s="38"/>
      <c r="U98" s="38"/>
      <c r="V98" s="19"/>
      <c r="W98" s="19"/>
      <c r="X98" s="15"/>
      <c r="Z98" s="19"/>
      <c r="AA98" s="19"/>
      <c r="AB98" s="19"/>
      <c r="AF98" s="38"/>
      <c r="AG98" s="38"/>
      <c r="AH98" s="19"/>
      <c r="AI98" s="19"/>
      <c r="AJ98" s="15"/>
      <c r="AL98" s="19"/>
      <c r="AM98" s="19"/>
      <c r="AN98" s="19"/>
      <c r="AR98" s="38"/>
      <c r="AS98" s="38"/>
      <c r="AT98" s="19"/>
      <c r="AU98" s="19"/>
      <c r="AV98" s="15"/>
      <c r="AX98" s="19"/>
      <c r="AY98" s="19"/>
      <c r="AZ98" s="19"/>
      <c r="BD98" s="38"/>
      <c r="BE98" s="38"/>
      <c r="BF98" s="19"/>
      <c r="BG98" s="19"/>
      <c r="BH98" s="15"/>
      <c r="BJ98" s="19"/>
      <c r="BK98" s="19"/>
      <c r="BL98" s="19"/>
    </row>
    <row r="99" spans="20:64" ht="13" customHeight="1">
      <c r="T99" s="19"/>
      <c r="U99" s="19"/>
      <c r="Z99" s="19"/>
      <c r="AA99" s="19"/>
      <c r="AB99" s="19"/>
      <c r="AF99" s="19"/>
      <c r="AG99" s="19"/>
      <c r="AL99" s="19"/>
      <c r="AM99" s="19"/>
      <c r="AN99" s="19"/>
      <c r="AR99" s="19"/>
      <c r="AS99" s="19"/>
      <c r="AX99" s="19"/>
      <c r="AY99" s="19"/>
      <c r="AZ99" s="19"/>
      <c r="BD99" s="19"/>
      <c r="BE99" s="19"/>
      <c r="BJ99" s="19"/>
      <c r="BK99" s="19"/>
      <c r="BL99" s="19"/>
    </row>
    <row r="100" spans="20:64" ht="13" customHeight="1">
      <c r="T100" s="19"/>
      <c r="U100" s="19"/>
      <c r="V100" s="19"/>
      <c r="W100" s="19"/>
      <c r="X100" s="20"/>
      <c r="Z100" s="19"/>
      <c r="AA100" s="19"/>
      <c r="AB100" s="19"/>
      <c r="AF100" s="19"/>
      <c r="AG100" s="19"/>
      <c r="AH100" s="19"/>
      <c r="AI100" s="19"/>
      <c r="AJ100" s="20"/>
      <c r="AL100" s="19"/>
      <c r="AM100" s="19"/>
      <c r="AN100" s="19"/>
      <c r="AR100" s="19"/>
      <c r="AS100" s="19"/>
      <c r="AT100" s="19"/>
      <c r="AU100" s="19"/>
      <c r="AV100" s="20"/>
      <c r="AX100" s="19"/>
      <c r="AY100" s="19"/>
      <c r="AZ100" s="19"/>
      <c r="BD100" s="19"/>
      <c r="BE100" s="19"/>
      <c r="BF100" s="19"/>
      <c r="BG100" s="19"/>
      <c r="BH100" s="20"/>
      <c r="BJ100" s="19"/>
      <c r="BK100" s="19"/>
      <c r="BL100" s="19"/>
    </row>
    <row r="101" spans="20:64" ht="13" customHeight="1">
      <c r="T101" s="19"/>
      <c r="U101" s="19"/>
      <c r="V101" s="19"/>
      <c r="W101" s="19"/>
      <c r="X101" s="32"/>
      <c r="Z101" s="19"/>
      <c r="AA101" s="19"/>
      <c r="AB101" s="19"/>
      <c r="AF101" s="19"/>
      <c r="AG101" s="19"/>
      <c r="AH101" s="19"/>
      <c r="AI101" s="19"/>
      <c r="AJ101" s="32"/>
      <c r="AL101" s="19"/>
      <c r="AM101" s="19"/>
      <c r="AN101" s="19"/>
      <c r="AR101" s="19"/>
      <c r="AS101" s="19"/>
      <c r="AT101" s="19"/>
      <c r="AU101" s="19"/>
      <c r="AV101" s="32"/>
      <c r="AX101" s="19"/>
      <c r="AY101" s="19"/>
      <c r="AZ101" s="19"/>
      <c r="BD101" s="19"/>
      <c r="BE101" s="19"/>
      <c r="BF101" s="19"/>
      <c r="BG101" s="19"/>
      <c r="BH101" s="32"/>
      <c r="BJ101" s="19"/>
      <c r="BK101" s="19"/>
      <c r="BL101" s="19"/>
    </row>
    <row r="102" spans="20:64" ht="13" customHeight="1">
      <c r="T102" s="19"/>
      <c r="U102" s="19"/>
      <c r="V102" s="19"/>
      <c r="W102" s="19"/>
      <c r="X102" s="15"/>
      <c r="Z102" s="19"/>
      <c r="AA102" s="19"/>
      <c r="AB102" s="19"/>
      <c r="AF102" s="19"/>
      <c r="AG102" s="19"/>
      <c r="AH102" s="19"/>
      <c r="AI102" s="19"/>
      <c r="AJ102" s="15"/>
      <c r="AL102" s="19"/>
      <c r="AM102" s="19"/>
      <c r="AN102" s="19"/>
      <c r="AR102" s="19"/>
      <c r="AS102" s="19"/>
      <c r="AT102" s="19"/>
      <c r="AU102" s="19"/>
      <c r="AV102" s="15"/>
      <c r="AX102" s="19"/>
      <c r="AY102" s="19"/>
      <c r="AZ102" s="19"/>
      <c r="BD102" s="19"/>
      <c r="BE102" s="19"/>
      <c r="BF102" s="19"/>
      <c r="BG102" s="19"/>
      <c r="BH102" s="15"/>
      <c r="BJ102" s="19"/>
      <c r="BK102" s="19"/>
      <c r="BL102" s="19"/>
    </row>
    <row r="103" spans="20:64" ht="13" customHeight="1">
      <c r="T103" s="19"/>
      <c r="U103" s="19"/>
      <c r="X103" s="40"/>
      <c r="Z103" s="19"/>
      <c r="AA103" s="19"/>
      <c r="AB103" s="19"/>
      <c r="AF103" s="19"/>
      <c r="AG103" s="19"/>
      <c r="AJ103" s="40"/>
      <c r="AL103" s="19"/>
      <c r="AM103" s="19"/>
      <c r="AN103" s="19"/>
      <c r="AR103" s="19"/>
      <c r="AS103" s="19"/>
      <c r="AV103" s="40"/>
      <c r="AX103" s="19"/>
      <c r="AY103" s="19"/>
      <c r="AZ103" s="19"/>
      <c r="BD103" s="19"/>
      <c r="BE103" s="19"/>
      <c r="BH103" s="40"/>
      <c r="BJ103" s="19"/>
      <c r="BK103" s="19"/>
      <c r="BL103" s="19"/>
    </row>
  </sheetData>
  <sheetProtection algorithmName="SHA-512" hashValue="+mewTdxrSx5IQxDcVU3KlwZGh5nMhzYROfNzBvU9oL9t2gFeG3XT6SMNqebB505JIbCzcrfdeOJZ0mzgnMnV5w==" saltValue="dFsDEieQSgIq9lw8wZueSA==" spinCount="100000" sheet="1" objects="1" scenarios="1"/>
  <protectedRanges>
    <protectedRange sqref="H7:O7 H17:O17 H27:O27 H37:O37 H10:O12 H20:O22 H30:O32 H40:O42" name="Diapazonas1"/>
  </protectedRanges>
  <mergeCells count="4">
    <mergeCell ref="F3:O3"/>
    <mergeCell ref="F4:O4"/>
    <mergeCell ref="G48:G50"/>
    <mergeCell ref="J50:O50"/>
  </mergeCells>
  <conditionalFormatting sqref="H48:O49 H50:J50">
    <cfRule type="cellIs" dxfId="0" priority="1" operator="lessThan">
      <formula>0</formula>
    </cfRule>
  </conditionalFormatting>
  <dataValidations count="5">
    <dataValidation type="list" allowBlank="1" showInputMessage="1" showErrorMessage="1" sqref="Q15 P12" xr:uid="{3DE9D512-F822-4645-A190-7FFE3BD24A0E}">
      <formula1>$R$3:$R$9</formula1>
    </dataValidation>
    <dataValidation type="list" allowBlank="1" showInputMessage="1" showErrorMessage="1" sqref="Q21 P18" xr:uid="{E729DD65-C514-4AA1-A82E-9F5DEAE4289E}">
      <formula1>$AD$2:$AD$6</formula1>
    </dataValidation>
    <dataValidation type="list" allowBlank="1" showInputMessage="1" showErrorMessage="1" sqref="Q17 P14" xr:uid="{86EAEC22-C98C-416C-906E-B82C23EC8477}">
      <formula1>$AD$2:$AD$9</formula1>
    </dataValidation>
    <dataValidation type="list" allowBlank="1" showInputMessage="1" showErrorMessage="1" sqref="O42" xr:uid="{10E103DF-0CE4-46BC-A6E4-D1770E18DFEF}">
      <formula1>$T$57:$T$61</formula1>
    </dataValidation>
    <dataValidation type="list" allowBlank="1" showInputMessage="1" showErrorMessage="1" sqref="H42:N42 H32:O32 H22:O22 H12:O12" xr:uid="{BD758EB9-8066-4815-9F5E-F857CF58E019}">
      <formula1>$R$3:$R$7</formula1>
    </dataValidation>
  </dataValidations>
  <pageMargins left="0.7" right="0.7" top="0.75" bottom="0.75" header="0.3" footer="0.3"/>
  <pageSetup paperSize="9" orientation="portrait" r:id="rId1"/>
  <ignoredErrors>
    <ignoredError sqref="N34 I49:J49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46B29-0FB8-49BC-818E-383DA6DC39E5}">
  <sheetPr>
    <pageSetUpPr fitToPage="1"/>
  </sheetPr>
  <dimension ref="B1:P42"/>
  <sheetViews>
    <sheetView showGridLines="0" tabSelected="1" zoomScale="70" zoomScaleNormal="70" workbookViewId="0">
      <selection activeCell="L31" sqref="L31"/>
    </sheetView>
  </sheetViews>
  <sheetFormatPr defaultColWidth="8.7265625" defaultRowHeight="14.5"/>
  <cols>
    <col min="1" max="1" width="4.54296875" style="1" customWidth="1"/>
    <col min="2" max="4" width="8.7265625" style="1"/>
    <col min="5" max="5" width="9.7265625" style="1" customWidth="1"/>
    <col min="6" max="6" width="26.453125" style="1" customWidth="1"/>
    <col min="7" max="7" width="37.54296875" style="1" customWidth="1"/>
    <col min="8" max="8" width="34.26953125" style="1" customWidth="1"/>
    <col min="9" max="16384" width="8.7265625" style="1"/>
  </cols>
  <sheetData>
    <row r="1" spans="2:16">
      <c r="L1" s="165"/>
      <c r="M1" s="166"/>
      <c r="N1" s="166"/>
      <c r="O1" s="166"/>
      <c r="P1" s="166"/>
    </row>
    <row r="2" spans="2:16">
      <c r="L2" s="166"/>
      <c r="M2" s="166"/>
      <c r="N2" s="166"/>
      <c r="O2" s="166"/>
      <c r="P2" s="166"/>
    </row>
    <row r="3" spans="2:16" ht="18.5">
      <c r="E3" s="7"/>
      <c r="F3" s="176"/>
      <c r="G3" s="176"/>
      <c r="H3" s="176"/>
      <c r="I3" s="8"/>
      <c r="J3" s="8"/>
      <c r="L3" s="166"/>
      <c r="M3" s="166"/>
      <c r="N3" s="166"/>
      <c r="O3" s="166"/>
      <c r="P3" s="166"/>
    </row>
    <row r="4" spans="2:16">
      <c r="F4" s="177"/>
      <c r="G4" s="177"/>
      <c r="H4" s="177"/>
      <c r="L4" s="166"/>
      <c r="M4" s="166"/>
      <c r="N4" s="166"/>
      <c r="O4" s="166"/>
      <c r="P4" s="166"/>
    </row>
    <row r="5" spans="2:16">
      <c r="F5" s="152" t="s">
        <v>39</v>
      </c>
      <c r="G5" s="153" t="s">
        <v>40</v>
      </c>
      <c r="H5" s="154" t="s">
        <v>41</v>
      </c>
      <c r="L5" s="166"/>
      <c r="M5" s="166"/>
      <c r="N5" s="166"/>
      <c r="O5" s="166"/>
      <c r="P5" s="166"/>
    </row>
    <row r="6" spans="2:16">
      <c r="F6" s="155" t="s">
        <v>42</v>
      </c>
      <c r="G6" s="156" t="s">
        <v>43</v>
      </c>
      <c r="H6" s="157" t="s">
        <v>44</v>
      </c>
    </row>
    <row r="7" spans="2:16">
      <c r="F7" s="158" t="s">
        <v>45</v>
      </c>
      <c r="G7" s="159" t="s">
        <v>43</v>
      </c>
      <c r="H7" s="160" t="s">
        <v>44</v>
      </c>
    </row>
    <row r="8" spans="2:16">
      <c r="F8" s="161"/>
      <c r="G8" s="162"/>
      <c r="H8" s="163"/>
    </row>
    <row r="9" spans="2:16" ht="31.5" customHeight="1">
      <c r="B9" s="5"/>
      <c r="C9" s="5"/>
      <c r="D9" s="6"/>
      <c r="J9" s="2"/>
    </row>
    <row r="10" spans="2:16" ht="14.25" customHeight="1"/>
    <row r="15" spans="2:16" ht="18.5">
      <c r="I15" s="2"/>
    </row>
    <row r="18" spans="2:10" ht="15.5">
      <c r="B18" s="5"/>
      <c r="C18" s="5"/>
      <c r="D18" s="5"/>
    </row>
    <row r="27" spans="2:10">
      <c r="C27" s="4"/>
    </row>
    <row r="30" spans="2:10">
      <c r="F30" s="10"/>
      <c r="G30" s="10"/>
    </row>
    <row r="31" spans="2:10">
      <c r="F31" s="10"/>
      <c r="G31" s="10"/>
      <c r="H31" s="10"/>
      <c r="I31" s="10"/>
      <c r="J31" s="10"/>
    </row>
    <row r="32" spans="2:10">
      <c r="F32" s="10"/>
      <c r="G32" s="10"/>
      <c r="H32" s="10"/>
      <c r="I32" s="10"/>
      <c r="J32" s="10"/>
    </row>
    <row r="33" spans="2:11">
      <c r="E33" s="10"/>
      <c r="F33" s="10"/>
      <c r="G33" s="10"/>
      <c r="H33" s="10"/>
      <c r="I33" s="10"/>
      <c r="J33" s="10"/>
    </row>
    <row r="34" spans="2:11">
      <c r="E34" s="10"/>
      <c r="F34" s="10"/>
      <c r="G34" s="10"/>
      <c r="H34" s="10"/>
      <c r="I34" s="10"/>
      <c r="J34" s="10"/>
    </row>
    <row r="35" spans="2:11">
      <c r="E35" s="10"/>
      <c r="F35" s="10"/>
      <c r="G35" s="10"/>
      <c r="H35" s="10"/>
      <c r="I35" s="10"/>
      <c r="J35" s="10"/>
      <c r="K35" s="9"/>
    </row>
    <row r="36" spans="2:11">
      <c r="E36" s="10"/>
      <c r="F36" s="10"/>
      <c r="G36" s="10"/>
      <c r="H36" s="10"/>
      <c r="I36" s="10"/>
      <c r="J36" s="10"/>
    </row>
    <row r="37" spans="2:11">
      <c r="E37" s="10"/>
      <c r="F37" s="10"/>
      <c r="G37" s="10"/>
      <c r="H37" s="10"/>
      <c r="I37" s="10"/>
      <c r="J37" s="10"/>
    </row>
    <row r="38" spans="2:11">
      <c r="E38" s="10"/>
      <c r="F38" s="10"/>
      <c r="G38" s="10"/>
      <c r="H38" s="10"/>
      <c r="I38" s="10"/>
      <c r="J38" s="10"/>
    </row>
    <row r="39" spans="2:11">
      <c r="E39" s="10"/>
      <c r="F39" s="10"/>
      <c r="G39" s="10"/>
      <c r="H39" s="10"/>
      <c r="I39" s="10"/>
      <c r="J39" s="10"/>
    </row>
    <row r="40" spans="2:11" ht="18.5">
      <c r="B40" s="2"/>
      <c r="E40" s="10"/>
      <c r="F40" s="10"/>
      <c r="G40" s="10"/>
      <c r="H40" s="10"/>
      <c r="I40" s="10"/>
      <c r="J40" s="10"/>
    </row>
    <row r="41" spans="2:11">
      <c r="E41" s="10"/>
      <c r="F41" s="10"/>
      <c r="G41" s="10"/>
      <c r="H41" s="10"/>
      <c r="I41" s="10"/>
      <c r="J41" s="10"/>
    </row>
    <row r="42" spans="2:11">
      <c r="E42" s="10"/>
      <c r="F42" s="10"/>
      <c r="G42" s="10"/>
      <c r="H42" s="10"/>
      <c r="I42" s="10"/>
      <c r="J42" s="10"/>
    </row>
  </sheetData>
  <sheetProtection algorithmName="SHA-512" hashValue="ZvaQOHavokMvc4FBPm4PcZa2/iPV+kgn5UWqBjH8zdtp6AhipbPPCvLnjY0U3xg3To7zzzfFqpBuZBzoQXpRpQ==" saltValue="mteMYdZogfv/75Es3RWIow==" spinCount="100000" sheet="1" objects="1" scenarios="1"/>
  <mergeCells count="2">
    <mergeCell ref="L1:P5"/>
    <mergeCell ref="F3:H4"/>
  </mergeCells>
  <pageMargins left="0.70866141732283472" right="0.70866141732283472" top="0.74803149606299213" bottom="0.74803149606299213" header="0.31496062992125984" footer="0.31496062992125984"/>
  <pageSetup paperSize="9" fitToWidth="36" fitToHeight="18" orientation="landscape" r:id="rId1"/>
  <headerFooter>
    <oddHeader>&amp;LTransporto veiklos rodikli&amp;CPuslapių &amp;P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76399d7-00f3-45ce-9e6b-d5f8fc0c91a5" xsi:nil="true"/>
    <lcf76f155ced4ddcb4097134ff3c332f xmlns="10e4ba4f-5857-40f8-9c97-8e4a89091d60">
      <Terms xmlns="http://schemas.microsoft.com/office/infopath/2007/PartnerControls"/>
    </lcf76f155ced4ddcb4097134ff3c332f>
    <_Flow_SignoffStatus xmlns="10e4ba4f-5857-40f8-9c97-8e4a89091d60" xsi:nil="true"/>
    <SharedWithUsers xmlns="e76399d7-00f3-45ce-9e6b-d5f8fc0c91a5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C67B5D35E21D0B428D793AA6710A2F6D" ma:contentTypeVersion="13" ma:contentTypeDescription="Kurkite naują dokumentą." ma:contentTypeScope="" ma:versionID="037f591fa3e6fd7db150906fb18ad237">
  <xsd:schema xmlns:xsd="http://www.w3.org/2001/XMLSchema" xmlns:xs="http://www.w3.org/2001/XMLSchema" xmlns:p="http://schemas.microsoft.com/office/2006/metadata/properties" xmlns:ns2="10e4ba4f-5857-40f8-9c97-8e4a89091d60" xmlns:ns3="e76399d7-00f3-45ce-9e6b-d5f8fc0c91a5" targetNamespace="http://schemas.microsoft.com/office/2006/metadata/properties" ma:root="true" ma:fieldsID="9b5eb3272318246d52878e8a3847b068" ns2:_="" ns3:_="">
    <xsd:import namespace="10e4ba4f-5857-40f8-9c97-8e4a89091d60"/>
    <xsd:import namespace="e76399d7-00f3-45ce-9e6b-d5f8fc0c91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4ba4f-5857-40f8-9c97-8e4a89091d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Vaizdų žymės" ma:readOnly="false" ma:fieldId="{5cf76f15-5ced-4ddc-b409-7134ff3c332f}" ma:taxonomyMulti="true" ma:sspId="993cf2ba-b7a7-49f7-97d1-76e12a88c41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Atsijungimo būsena" ma:internalName="Atsijungimo_x0020_b_x016b_sena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6399d7-00f3-45ce-9e6b-d5f8fc0c91a5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e9d473b-569d-4e6b-bba3-c08597506421}" ma:internalName="TaxCatchAll" ma:showField="CatchAllData" ma:web="e76399d7-00f3-45ce-9e6b-d5f8fc0c91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69B3BD-FB9F-42D7-9C2E-800C9533223C}">
  <ds:schemaRefs>
    <ds:schemaRef ds:uri="http://purl.org/dc/terms/"/>
    <ds:schemaRef ds:uri="http://schemas.microsoft.com/office/2006/documentManagement/types"/>
    <ds:schemaRef ds:uri="e76399d7-00f3-45ce-9e6b-d5f8fc0c91a5"/>
    <ds:schemaRef ds:uri="10e4ba4f-5857-40f8-9c97-8e4a89091d60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EE1036E7-5982-4260-9329-BD83AD8FD7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58A4A2-DE3E-41B9-9B03-46A15BA4C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e4ba4f-5857-40f8-9c97-8e4a89091d60"/>
    <ds:schemaRef ds:uri="e76399d7-00f3-45ce-9e6b-d5f8fc0c91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Darbalapiai</vt:lpstr>
      </vt:variant>
      <vt:variant>
        <vt:i4>5</vt:i4>
      </vt:variant>
    </vt:vector>
  </HeadingPairs>
  <TitlesOfParts>
    <vt:vector size="5" baseType="lpstr">
      <vt:lpstr>PRADŽIA</vt:lpstr>
      <vt:lpstr>INSTRUKCIJA</vt:lpstr>
      <vt:lpstr>NAUDOJIMOSI INSTRUKCIJA</vt:lpstr>
      <vt:lpstr>SKAIČIUOKLĖ</vt:lpstr>
      <vt:lpstr>ATNAUJINIMAS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Irma Dirsytė</dc:creator>
  <cp:keywords/>
  <dc:description/>
  <cp:revision/>
  <dcterms:created xsi:type="dcterms:W3CDTF">2023-05-15T05:16:01Z</dcterms:created>
  <dcterms:modified xsi:type="dcterms:W3CDTF">2025-10-08T05:30:42Z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0x010100C67B5D35E21D0B428D793AA6710A2F6D</vt:lpwstr>
  </property>
  <property fmtid="{D5CDD505-2E9C-101B-9397-08002B2CF9AE}" pid="3" name="MediaServiceImageTags">
    <vt:lpwstr/>
  </property>
  <property fmtid="{D5CDD505-2E9C-101B-9397-08002B2CF9AE}" pid="4" name="Order">
    <vt:r8>6000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